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codeName="ThisWorkbook" defaultThemeVersion="124226"/>
  <mc:AlternateContent xmlns:mc="http://schemas.openxmlformats.org/markup-compatibility/2006">
    <mc:Choice Requires="x15">
      <x15ac:absPath xmlns:x15ac="http://schemas.microsoft.com/office/spreadsheetml/2010/11/ac" url="C:\Users\Shaila\Dropbox\Classes\Social Analytics\Social Analytics Book\Supporting Files\Data\For NodeXL Exercises\"/>
    </mc:Choice>
  </mc:AlternateContent>
  <bookViews>
    <workbookView xWindow="90" yWindow="1680" windowWidth="20730" windowHeight="787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71027"/>
</workbook>
</file>

<file path=xl/calcChain.xml><?xml version="1.0" encoding="utf-8"?>
<calcChain xmlns="http://schemas.openxmlformats.org/spreadsheetml/2006/main">
  <c r="AJ3" i="3" l="1"/>
  <c r="AJ4" i="3"/>
  <c r="AJ5" i="3"/>
  <c r="AJ6" i="3"/>
  <c r="AJ7" i="3"/>
  <c r="AJ8" i="3"/>
  <c r="AJ9" i="3"/>
  <c r="AJ10" i="3"/>
  <c r="AJ11" i="3"/>
  <c r="AJ12" i="3"/>
  <c r="AJ13" i="3"/>
  <c r="AJ14" i="3"/>
  <c r="AJ15" i="3"/>
  <c r="AJ16" i="3"/>
  <c r="AJ17" i="3"/>
  <c r="AJ18" i="3"/>
  <c r="AJ19" i="3"/>
  <c r="AJ20" i="3"/>
  <c r="AJ21" i="3"/>
  <c r="AJ22" i="3"/>
  <c r="AJ23" i="3"/>
  <c r="AJ24" i="3"/>
  <c r="AJ25" i="3"/>
  <c r="AJ26" i="3"/>
  <c r="AJ27" i="3"/>
  <c r="AJ28" i="3"/>
  <c r="AJ29" i="3"/>
  <c r="AJ30" i="3"/>
  <c r="AJ31" i="3"/>
  <c r="AJ32" i="3"/>
  <c r="AJ33" i="3"/>
  <c r="AJ34" i="3"/>
  <c r="AJ35" i="3"/>
  <c r="AJ36" i="3"/>
  <c r="AJ37" i="3"/>
  <c r="AJ38" i="3"/>
  <c r="AJ39" i="3"/>
  <c r="AJ40" i="3"/>
  <c r="AJ41" i="3"/>
  <c r="AJ42" i="3"/>
  <c r="AJ43" i="3"/>
  <c r="AJ44" i="3"/>
  <c r="AJ45" i="3"/>
  <c r="AJ46" i="3"/>
  <c r="AJ47" i="3"/>
  <c r="AJ48" i="3"/>
  <c r="AJ49" i="3"/>
  <c r="H5" i="3" l="1"/>
  <c r="H3" i="3"/>
  <c r="H4" i="3"/>
  <c r="H6" i="3"/>
  <c r="H9" i="3"/>
  <c r="H8" i="3"/>
  <c r="H10" i="3"/>
  <c r="H7" i="3"/>
  <c r="H11" i="3"/>
  <c r="H15" i="3"/>
  <c r="H12" i="3"/>
  <c r="H14" i="3"/>
  <c r="H13" i="3"/>
  <c r="H18" i="3"/>
  <c r="H19" i="3"/>
  <c r="H20" i="3"/>
  <c r="H16" i="3"/>
  <c r="H17" i="3"/>
  <c r="H21" i="3"/>
  <c r="H22" i="3"/>
  <c r="H26" i="3"/>
  <c r="H27" i="3"/>
  <c r="H24" i="3"/>
  <c r="H23" i="3"/>
  <c r="H25" i="3"/>
  <c r="H28" i="3"/>
  <c r="H32" i="3"/>
  <c r="H30" i="3"/>
  <c r="H29" i="3"/>
  <c r="H31" i="3"/>
  <c r="H33" i="3"/>
  <c r="H34" i="3"/>
  <c r="H38" i="3"/>
  <c r="H35" i="3"/>
  <c r="H39" i="3"/>
  <c r="H36" i="3"/>
  <c r="H40" i="3"/>
  <c r="H37" i="3"/>
  <c r="H41" i="3"/>
  <c r="H42" i="3"/>
  <c r="H43" i="3"/>
  <c r="H44" i="3"/>
  <c r="H45" i="3"/>
  <c r="H46" i="3"/>
  <c r="H47" i="3"/>
  <c r="H48" i="3"/>
  <c r="H49" i="3"/>
  <c r="C5" i="3"/>
  <c r="C3" i="3"/>
  <c r="C4" i="3"/>
  <c r="C6" i="3"/>
  <c r="C9" i="3"/>
  <c r="C8" i="3"/>
  <c r="C10" i="3"/>
  <c r="C7" i="3"/>
  <c r="C11" i="3"/>
  <c r="C15" i="3"/>
  <c r="C12" i="3"/>
  <c r="C14" i="3"/>
  <c r="C13" i="3"/>
  <c r="C18" i="3"/>
  <c r="C19" i="3"/>
  <c r="C20" i="3"/>
  <c r="C16" i="3"/>
  <c r="C17" i="3"/>
  <c r="C21" i="3"/>
  <c r="C22" i="3"/>
  <c r="C26" i="3"/>
  <c r="C27" i="3"/>
  <c r="C24" i="3"/>
  <c r="C23" i="3"/>
  <c r="C25" i="3"/>
  <c r="C28" i="3"/>
  <c r="C32" i="3"/>
  <c r="C30" i="3"/>
  <c r="C29" i="3"/>
  <c r="C31" i="3"/>
  <c r="C33" i="3"/>
  <c r="C34" i="3"/>
  <c r="C38" i="3"/>
  <c r="C35" i="3"/>
  <c r="C39" i="3"/>
  <c r="C36" i="3"/>
  <c r="C40" i="3"/>
  <c r="C37" i="3"/>
  <c r="C41" i="3"/>
  <c r="C42" i="3"/>
  <c r="C43" i="3"/>
  <c r="C44" i="3"/>
  <c r="C45" i="3"/>
  <c r="C46" i="3"/>
  <c r="C47" i="3"/>
  <c r="C48" i="3"/>
  <c r="C49" i="3"/>
  <c r="D5" i="3"/>
  <c r="D3" i="3"/>
  <c r="D4" i="3"/>
  <c r="D6" i="3"/>
  <c r="D9" i="3"/>
  <c r="D8" i="3"/>
  <c r="D10" i="3"/>
  <c r="D7" i="3"/>
  <c r="D11" i="3"/>
  <c r="D15" i="3"/>
  <c r="D12" i="3"/>
  <c r="D14" i="3"/>
  <c r="D13" i="3"/>
  <c r="D18" i="3"/>
  <c r="D19" i="3"/>
  <c r="D20" i="3"/>
  <c r="D16" i="3"/>
  <c r="D17" i="3"/>
  <c r="D21" i="3"/>
  <c r="D22" i="3"/>
  <c r="D26" i="3"/>
  <c r="D27" i="3"/>
  <c r="D24" i="3"/>
  <c r="D23" i="3"/>
  <c r="D25" i="3"/>
  <c r="D28" i="3"/>
  <c r="D32" i="3"/>
  <c r="D30" i="3"/>
  <c r="D29" i="3"/>
  <c r="D31" i="3"/>
  <c r="D33" i="3"/>
  <c r="D34" i="3"/>
  <c r="D38" i="3"/>
  <c r="D35" i="3"/>
  <c r="D39" i="3"/>
  <c r="D36" i="3"/>
  <c r="D40" i="3"/>
  <c r="D37" i="3"/>
  <c r="D41" i="3"/>
  <c r="D42" i="3"/>
  <c r="D43" i="3"/>
  <c r="D44" i="3"/>
  <c r="D45" i="3"/>
  <c r="D46" i="3"/>
  <c r="D47" i="3"/>
  <c r="D48" i="3"/>
  <c r="D49" i="3"/>
  <c r="B5" i="3"/>
  <c r="B3" i="3"/>
  <c r="B4" i="3"/>
  <c r="B6" i="3"/>
  <c r="B9" i="3"/>
  <c r="B8" i="3"/>
  <c r="B10" i="3"/>
  <c r="B7" i="3"/>
  <c r="B11" i="3"/>
  <c r="B15" i="3"/>
  <c r="B12" i="3"/>
  <c r="B14" i="3"/>
  <c r="B13" i="3"/>
  <c r="B18" i="3"/>
  <c r="B19" i="3"/>
  <c r="B20" i="3"/>
  <c r="B16" i="3"/>
  <c r="B17" i="3"/>
  <c r="B21" i="3"/>
  <c r="B22" i="3"/>
  <c r="B26" i="3"/>
  <c r="B27" i="3"/>
  <c r="B24" i="3"/>
  <c r="B23" i="3"/>
  <c r="B25" i="3"/>
  <c r="B28" i="3"/>
  <c r="B32" i="3"/>
  <c r="B30" i="3"/>
  <c r="B29" i="3"/>
  <c r="B31" i="3"/>
  <c r="B33" i="3"/>
  <c r="B34" i="3"/>
  <c r="B38" i="3"/>
  <c r="B35" i="3"/>
  <c r="B39" i="3"/>
  <c r="B36" i="3"/>
  <c r="B40" i="3"/>
  <c r="B37" i="3"/>
  <c r="B41" i="3"/>
  <c r="B42" i="3"/>
  <c r="B43" i="3"/>
  <c r="B44" i="3"/>
  <c r="B45" i="3"/>
  <c r="B46" i="3"/>
  <c r="B47" i="3"/>
  <c r="B48" i="3"/>
  <c r="B49" i="3"/>
  <c r="B128" i="7"/>
  <c r="B127" i="7"/>
  <c r="B130" i="7"/>
  <c r="B129" i="7"/>
  <c r="P45" i="7"/>
  <c r="Q45" i="7" s="1"/>
  <c r="P2" i="7"/>
  <c r="B142" i="7"/>
  <c r="B141" i="7"/>
  <c r="B144" i="7"/>
  <c r="B143" i="7"/>
  <c r="R45" i="7"/>
  <c r="S45" i="7" s="1"/>
  <c r="R2" i="7"/>
  <c r="B114" i="7"/>
  <c r="B113" i="7"/>
  <c r="B116" i="7"/>
  <c r="B115" i="7"/>
  <c r="N45" i="7"/>
  <c r="O45" i="7" s="1"/>
  <c r="N2" i="7"/>
  <c r="B100" i="7"/>
  <c r="B99" i="7"/>
  <c r="B86" i="7"/>
  <c r="B85" i="7"/>
  <c r="B102" i="7"/>
  <c r="B101" i="7"/>
  <c r="L45" i="7"/>
  <c r="M45" i="7" s="1"/>
  <c r="L2" i="7"/>
  <c r="B72" i="7"/>
  <c r="B71" i="7"/>
  <c r="B58" i="7"/>
  <c r="B57" i="7"/>
  <c r="B88" i="7"/>
  <c r="B87" i="7"/>
  <c r="J45" i="7"/>
  <c r="K45" i="7" s="1"/>
  <c r="J2" i="7"/>
  <c r="B74" i="7"/>
  <c r="B73" i="7"/>
  <c r="H45" i="7"/>
  <c r="I45" i="7" s="1"/>
  <c r="H2" i="7"/>
  <c r="B60" i="7"/>
  <c r="B59" i="7"/>
  <c r="F45" i="7"/>
  <c r="G45" i="7" s="1"/>
  <c r="F2" i="7"/>
  <c r="B44" i="7"/>
  <c r="B43" i="7"/>
  <c r="B46" i="7"/>
  <c r="B45" i="7"/>
  <c r="T2" i="7"/>
  <c r="T45" i="7"/>
  <c r="X2" i="7" l="1"/>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D45" i="7"/>
  <c r="E45" i="7" s="1"/>
  <c r="D2" i="7"/>
  <c r="U45" i="7"/>
  <c r="Q3" i="7" l="1"/>
  <c r="Q2" i="7"/>
  <c r="R3" i="7"/>
  <c r="R4" i="7" s="1"/>
  <c r="S3" i="7" s="1"/>
  <c r="T3" i="7"/>
  <c r="L3" i="7"/>
  <c r="M2" i="7" s="1"/>
  <c r="N3" i="7"/>
  <c r="H3" i="7"/>
  <c r="J3" i="7"/>
  <c r="D3" i="7"/>
  <c r="D4" i="7" s="1"/>
  <c r="E3" i="7" s="1"/>
  <c r="F3" i="7"/>
  <c r="U2" i="7"/>
  <c r="Q5" i="7" l="1"/>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I2" i="7"/>
  <c r="J4" i="7"/>
  <c r="K2" i="7"/>
  <c r="H4" i="7"/>
  <c r="H5" i="7" s="1"/>
  <c r="E2" i="7"/>
  <c r="F4" i="7"/>
  <c r="G2" i="7"/>
  <c r="D5" i="7"/>
  <c r="E4" i="7" s="1"/>
  <c r="U3" i="7"/>
  <c r="Q6" i="7" l="1"/>
  <c r="T5" i="7"/>
  <c r="M3" i="7"/>
  <c r="R6" i="7"/>
  <c r="S5" i="7" s="1"/>
  <c r="I3" i="7"/>
  <c r="N5" i="7"/>
  <c r="O3" i="7"/>
  <c r="M4" i="7"/>
  <c r="M5" i="7"/>
  <c r="M6" i="7"/>
  <c r="J5" i="7"/>
  <c r="K3" i="7"/>
  <c r="H6" i="7"/>
  <c r="I5" i="7" s="1"/>
  <c r="I4" i="7"/>
  <c r="F5" i="7"/>
  <c r="G3" i="7"/>
  <c r="D6" i="7"/>
  <c r="E5" i="7" s="1"/>
  <c r="U4" i="7"/>
  <c r="Q7" i="7" l="1"/>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7" i="7"/>
  <c r="S26" i="7" s="1"/>
  <c r="N26" i="7"/>
  <c r="O25" i="7" s="1"/>
  <c r="M27" i="7"/>
  <c r="J26" i="7"/>
  <c r="K25" i="7" s="1"/>
  <c r="H27" i="7"/>
  <c r="I26" i="7" s="1"/>
  <c r="F26" i="7"/>
  <c r="G25" i="7" s="1"/>
  <c r="D27" i="7"/>
  <c r="E26" i="7" s="1"/>
  <c r="U25" i="7"/>
  <c r="Q27" i="7" l="1"/>
  <c r="T27" i="7"/>
  <c r="R28" i="7"/>
  <c r="S27" i="7" s="1"/>
  <c r="N27" i="7"/>
  <c r="O26" i="7" s="1"/>
  <c r="M28" i="7"/>
  <c r="J27" i="7"/>
  <c r="K26" i="7" s="1"/>
  <c r="H28" i="7"/>
  <c r="I27" i="7" s="1"/>
  <c r="F27" i="7"/>
  <c r="G26" i="7" s="1"/>
  <c r="D28" i="7"/>
  <c r="E27" i="7" s="1"/>
  <c r="U26" i="7"/>
  <c r="Q28" i="7" l="1"/>
  <c r="T28" i="7"/>
  <c r="R29" i="7"/>
  <c r="S28" i="7" s="1"/>
  <c r="N28" i="7"/>
  <c r="O27" i="7" s="1"/>
  <c r="M29" i="7"/>
  <c r="J28" i="7"/>
  <c r="K27" i="7" s="1"/>
  <c r="H29" i="7"/>
  <c r="I28" i="7" s="1"/>
  <c r="F28" i="7"/>
  <c r="G27" i="7" s="1"/>
  <c r="D29" i="7"/>
  <c r="E28" i="7" s="1"/>
  <c r="U27" i="7"/>
  <c r="Q29" i="7" l="1"/>
  <c r="T29" i="7"/>
  <c r="R30" i="7"/>
  <c r="N29" i="7"/>
  <c r="O28" i="7" s="1"/>
  <c r="M30" i="7"/>
  <c r="J29" i="7"/>
  <c r="K28" i="7" s="1"/>
  <c r="H30" i="7"/>
  <c r="I29" i="7" s="1"/>
  <c r="F29" i="7"/>
  <c r="G28" i="7" s="1"/>
  <c r="D30" i="7"/>
  <c r="E29" i="7" s="1"/>
  <c r="U28" i="7"/>
  <c r="Q30" i="7" l="1"/>
  <c r="T30" i="7"/>
  <c r="R31" i="7"/>
  <c r="S30" i="7" s="1"/>
  <c r="S29" i="7"/>
  <c r="N30" i="7"/>
  <c r="O29" i="7" s="1"/>
  <c r="M31" i="7"/>
  <c r="J30" i="7"/>
  <c r="K29" i="7" s="1"/>
  <c r="H31" i="7"/>
  <c r="I30" i="7" s="1"/>
  <c r="F30" i="7"/>
  <c r="G29" i="7" s="1"/>
  <c r="D31" i="7"/>
  <c r="E30" i="7" s="1"/>
  <c r="U29" i="7"/>
  <c r="Q31" i="7" l="1"/>
  <c r="T31" i="7"/>
  <c r="R32" i="7"/>
  <c r="S31" i="7" s="1"/>
  <c r="N31" i="7"/>
  <c r="O30" i="7" s="1"/>
  <c r="M32" i="7"/>
  <c r="J31" i="7"/>
  <c r="K30" i="7" s="1"/>
  <c r="H32" i="7"/>
  <c r="I31" i="7" s="1"/>
  <c r="F31" i="7"/>
  <c r="G30" i="7" s="1"/>
  <c r="D32" i="7"/>
  <c r="E31" i="7" s="1"/>
  <c r="U30" i="7"/>
  <c r="Q32" i="7" l="1"/>
  <c r="T32" i="7"/>
  <c r="R33" i="7"/>
  <c r="N32" i="7"/>
  <c r="O31" i="7" s="1"/>
  <c r="M33" i="7"/>
  <c r="J32" i="7"/>
  <c r="K31" i="7" s="1"/>
  <c r="H33" i="7"/>
  <c r="I32" i="7" s="1"/>
  <c r="F32" i="7"/>
  <c r="G31" i="7" s="1"/>
  <c r="D33" i="7"/>
  <c r="E32" i="7" s="1"/>
  <c r="U31" i="7"/>
  <c r="Q33" i="7" l="1"/>
  <c r="T33" i="7"/>
  <c r="R34" i="7"/>
  <c r="S33" i="7" s="1"/>
  <c r="S32" i="7"/>
  <c r="N33" i="7"/>
  <c r="O32" i="7" s="1"/>
  <c r="M34" i="7"/>
  <c r="J33" i="7"/>
  <c r="K32" i="7" s="1"/>
  <c r="H34" i="7"/>
  <c r="I33" i="7" s="1"/>
  <c r="F33" i="7"/>
  <c r="G32" i="7" s="1"/>
  <c r="D34" i="7"/>
  <c r="E33" i="7" s="1"/>
  <c r="U32" i="7"/>
  <c r="Q34" i="7" l="1"/>
  <c r="T34" i="7"/>
  <c r="R35" i="7"/>
  <c r="S34" i="7" s="1"/>
  <c r="N34" i="7"/>
  <c r="O33" i="7" s="1"/>
  <c r="M35" i="7"/>
  <c r="J34" i="7"/>
  <c r="K33" i="7" s="1"/>
  <c r="H35" i="7"/>
  <c r="I34" i="7" s="1"/>
  <c r="F34" i="7"/>
  <c r="G33" i="7" s="1"/>
  <c r="D35" i="7"/>
  <c r="E34" i="7" s="1"/>
  <c r="U33" i="7"/>
  <c r="Q35" i="7" l="1"/>
  <c r="T35" i="7"/>
  <c r="R36" i="7"/>
  <c r="S35" i="7" s="1"/>
  <c r="N35" i="7"/>
  <c r="O34" i="7" s="1"/>
  <c r="M36" i="7"/>
  <c r="J35" i="7"/>
  <c r="K34" i="7" s="1"/>
  <c r="H36" i="7"/>
  <c r="I35" i="7" s="1"/>
  <c r="F35" i="7"/>
  <c r="G34" i="7" s="1"/>
  <c r="D36" i="7"/>
  <c r="E35" i="7" s="1"/>
  <c r="U34" i="7"/>
  <c r="Q36" i="7" l="1"/>
  <c r="T36" i="7"/>
  <c r="R37" i="7"/>
  <c r="S36" i="7" s="1"/>
  <c r="N36" i="7"/>
  <c r="O35" i="7" s="1"/>
  <c r="M37" i="7"/>
  <c r="J36" i="7"/>
  <c r="K35" i="7" s="1"/>
  <c r="H37" i="7"/>
  <c r="I36" i="7" s="1"/>
  <c r="F36" i="7"/>
  <c r="G35" i="7" s="1"/>
  <c r="D37" i="7"/>
  <c r="E36" i="7" s="1"/>
  <c r="U35" i="7"/>
  <c r="Q37" i="7" l="1"/>
  <c r="T37" i="7"/>
  <c r="R38" i="7"/>
  <c r="S37" i="7" s="1"/>
  <c r="N37" i="7"/>
  <c r="O36" i="7" s="1"/>
  <c r="M38" i="7"/>
  <c r="J37" i="7"/>
  <c r="K36" i="7" s="1"/>
  <c r="H38" i="7"/>
  <c r="I37" i="7" s="1"/>
  <c r="F37" i="7"/>
  <c r="G36" i="7" s="1"/>
  <c r="D38" i="7"/>
  <c r="E37" i="7" s="1"/>
  <c r="U36" i="7"/>
  <c r="Q38" i="7" l="1"/>
  <c r="T38" i="7"/>
  <c r="R39" i="7"/>
  <c r="S38" i="7" s="1"/>
  <c r="N38" i="7"/>
  <c r="O37" i="7" s="1"/>
  <c r="M39" i="7"/>
  <c r="J38" i="7"/>
  <c r="K37" i="7" s="1"/>
  <c r="H39" i="7"/>
  <c r="I38" i="7" s="1"/>
  <c r="F38" i="7"/>
  <c r="G37" i="7" s="1"/>
  <c r="D39" i="7"/>
  <c r="E38" i="7" s="1"/>
  <c r="U37" i="7"/>
  <c r="Q39" i="7" l="1"/>
  <c r="T39" i="7"/>
  <c r="R40" i="7"/>
  <c r="S39" i="7" s="1"/>
  <c r="N39" i="7"/>
  <c r="O38" i="7" s="1"/>
  <c r="M40" i="7"/>
  <c r="J39" i="7"/>
  <c r="K38" i="7" s="1"/>
  <c r="H40" i="7"/>
  <c r="I39" i="7" s="1"/>
  <c r="F39" i="7"/>
  <c r="G38" i="7" s="1"/>
  <c r="D40" i="7"/>
  <c r="E39" i="7" s="1"/>
  <c r="U38" i="7"/>
  <c r="Q40" i="7" l="1"/>
  <c r="T40" i="7"/>
  <c r="R41" i="7"/>
  <c r="S40" i="7" s="1"/>
  <c r="N40" i="7"/>
  <c r="O39" i="7" s="1"/>
  <c r="M41" i="7"/>
  <c r="J40" i="7"/>
  <c r="K39" i="7" s="1"/>
  <c r="H41" i="7"/>
  <c r="I40" i="7" s="1"/>
  <c r="F40" i="7"/>
  <c r="G39" i="7" s="1"/>
  <c r="D41" i="7"/>
  <c r="E40" i="7" s="1"/>
  <c r="U39" i="7"/>
  <c r="Q41" i="7" l="1"/>
  <c r="T41" i="7"/>
  <c r="R42" i="7"/>
  <c r="S41" i="7" s="1"/>
  <c r="N41" i="7"/>
  <c r="O40" i="7" s="1"/>
  <c r="M42" i="7"/>
  <c r="J41" i="7"/>
  <c r="K40" i="7" s="1"/>
  <c r="H42" i="7"/>
  <c r="I41" i="7" s="1"/>
  <c r="F41" i="7"/>
  <c r="G40" i="7" s="1"/>
  <c r="D42" i="7"/>
  <c r="E41" i="7" s="1"/>
  <c r="U40" i="7"/>
  <c r="Q44" i="7" l="1"/>
  <c r="Q42" i="7"/>
  <c r="T42" i="7"/>
  <c r="R43" i="7"/>
  <c r="S42" i="7" s="1"/>
  <c r="N42" i="7"/>
  <c r="O41" i="7" s="1"/>
  <c r="M43" i="7"/>
  <c r="M44" i="7"/>
  <c r="J42" i="7"/>
  <c r="K41" i="7" s="1"/>
  <c r="H43" i="7"/>
  <c r="I42" i="7" s="1"/>
  <c r="F42" i="7"/>
  <c r="G41" i="7" s="1"/>
  <c r="D43" i="7"/>
  <c r="E42" i="7" s="1"/>
  <c r="U41" i="7"/>
  <c r="Q43" i="7" l="1"/>
  <c r="T43" i="7"/>
  <c r="R44" i="7"/>
  <c r="S44" i="7" s="1"/>
  <c r="N43" i="7"/>
  <c r="O42" i="7" s="1"/>
  <c r="J43" i="7"/>
  <c r="K42" i="7" s="1"/>
  <c r="H44" i="7"/>
  <c r="I44" i="7" s="1"/>
  <c r="F43" i="7"/>
  <c r="G42" i="7" s="1"/>
  <c r="D44" i="7"/>
  <c r="E44" i="7" s="1"/>
  <c r="U42" i="7"/>
  <c r="S43" i="7" l="1"/>
  <c r="T44" i="7"/>
  <c r="N44" i="7"/>
  <c r="O44" i="7" s="1"/>
  <c r="J44" i="7"/>
  <c r="K44" i="7" s="1"/>
  <c r="I43" i="7"/>
  <c r="F44" i="7"/>
  <c r="G44" i="7" s="1"/>
  <c r="E43" i="7"/>
  <c r="U44" i="7"/>
  <c r="O43" i="7" l="1"/>
  <c r="K43" i="7"/>
  <c r="G43" i="7"/>
  <c r="U43"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<sst xmlns="http://schemas.openxmlformats.org/spreadsheetml/2006/main" count="1007" uniqueCount="239">
  <si>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</si>
  <si>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</si>
  <si>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</si>
  <si>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</si>
  <si>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</si>
  <si>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</si>
  <si>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</si>
  <si>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</si>
  <si>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</si>
  <si>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</si>
  <si>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</si>
  <si>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</si>
  <si>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</si>
  <si>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</si>
  <si>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</si>
  <si>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</si>
  <si>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</si>
  <si>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</si>
  <si>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</si>
  <si>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</si>
  <si>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</si>
  <si>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</si>
  <si>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</si>
  <si>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</si>
  <si>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</si>
  <si>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</si>
  <si>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</si>
  <si>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</si>
  <si>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</si>
  <si>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</si>
  <si>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</si>
  <si>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</si>
  <si>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</si>
  <si>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</si>
  <si>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</si>
  <si>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</si>
  <si>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</si>
  <si>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</si>
  <si>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</si>
  <si>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</si>
  <si>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</si>
  <si>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</si>
  <si>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</si>
  <si>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</si>
  <si>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</si>
  <si>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</si>
  <si>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</si>
  <si>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</si>
  <si>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</si>
  <si>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</si>
  <si>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</si>
  <si>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</si>
  <si>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</si>
  <si>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</si>
  <si>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</si>
  <si>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</si>
  <si>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</si>
  <si>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</si>
  <si>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</si>
  <si>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</si>
  <si>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</si>
  <si>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</si>
  <si>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</si>
  <si>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</si>
  <si>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</si>
  <si>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</si>
  <si>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</si>
  <si>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</si>
  <si>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</si>
  <si>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</si>
  <si>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</si>
  <si>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</si>
  <si>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</si>
  <si>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</si>
  <si>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</si>
  <si>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</si>
  <si>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</si>
  <si>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</si>
  <si>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</si>
  <si>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</si>
  <si>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</si>
  <si>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</si>
  <si>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</si>
  <si>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</si>
  <si>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</si>
  <si>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</si>
  <si>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</si>
  <si>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</si>
  <si>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</si>
  <si>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</si>
  <si>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</si>
  <si>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</si>
  <si>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</si>
  <si>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</si>
  <si>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</si>
  <si>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</si>
  <si>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</si>
  <si>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</si>
  <si>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</si>
  <si>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</si>
  <si>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</si>
  <si>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</si>
  <si>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</si>
  <si>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</si>
  <si>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</si>
  <si>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</si>
  <si>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</si>
  <si>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</si>
  <si>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</si>
  <si>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</si>
  <si>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</si>
  <si>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</si>
  <si>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</si>
  <si>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</si>
  <si>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</si>
  <si>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</si>
  <si>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</si>
  <si>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</si>
  <si>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</si>
  <si>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</si>
  <si>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</si>
  <si>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</si>
  <si>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</si>
  <si>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</si>
  <si>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</si>
  <si>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</si>
  <si>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</si>
  <si>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</si>
  <si>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</si>
  <si>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</si>
  <si>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</si>
  <si>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</si>
  <si>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</si>
  <si>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</si>
  <si>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</si>
  <si>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</si>
  <si>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</si>
  <si>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</si>
  <si>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</si>
  <si>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</si>
  <si>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</si>
  <si>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</si>
  <si>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</si>
  <si>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</si>
  <si>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</si>
  <si>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</si>
  <si>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</si>
  <si>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</si>
  <si>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</si>
  <si>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</si>
  <si>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</si>
  <si>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</si>
  <si>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</si>
  <si>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</si>
  <si>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</si>
  <si>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</si>
  <si>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</si>
  <si>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</si>
  <si>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</si>
  <si>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</si>
  <si>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</si>
  <si>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</si>
  <si>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</si>
  <si>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</si>
  <si>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</si>
  <si>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</si>
  <si>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</si>
  <si>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</si>
  <si>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</si>
  <si>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</si>
  <si>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</si>
  <si>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</si>
  <si>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</si>
  <si>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F</t>
  </si>
  <si>
    <t>PT</t>
  </si>
  <si>
    <t/>
  </si>
  <si>
    <t>x</t>
  </si>
  <si>
    <t>M</t>
  </si>
  <si>
    <t>FT</t>
  </si>
  <si>
    <t>Gender</t>
  </si>
  <si>
    <t>Status</t>
  </si>
  <si>
    <t>ACCT</t>
  </si>
  <si>
    <t>IE</t>
  </si>
  <si>
    <t>MS-MIS</t>
  </si>
  <si>
    <t>MBA</t>
  </si>
  <si>
    <t>Recognition</t>
  </si>
  <si>
    <t>Friendship</t>
  </si>
  <si>
    <t>Graph History</t>
  </si>
  <si>
    <t>LA</t>
  </si>
  <si>
    <t>MH</t>
  </si>
  <si>
    <t>CK</t>
  </si>
  <si>
    <t>CA</t>
  </si>
  <si>
    <t>JB</t>
  </si>
  <si>
    <t>MM</t>
  </si>
  <si>
    <t>SM</t>
  </si>
  <si>
    <t>KM</t>
  </si>
  <si>
    <t>LO</t>
  </si>
  <si>
    <t>BP</t>
  </si>
  <si>
    <t>SS</t>
  </si>
  <si>
    <t>JV</t>
  </si>
  <si>
    <t>TA</t>
  </si>
  <si>
    <t>BB</t>
  </si>
  <si>
    <t>DD</t>
  </si>
  <si>
    <t>DA</t>
  </si>
  <si>
    <t>CB</t>
  </si>
  <si>
    <t>AS</t>
  </si>
  <si>
    <t>JY</t>
  </si>
  <si>
    <t>NE</t>
  </si>
  <si>
    <t>AM</t>
  </si>
  <si>
    <t>WC</t>
  </si>
  <si>
    <t>DG</t>
  </si>
  <si>
    <t>MW</t>
  </si>
  <si>
    <t>BG</t>
  </si>
  <si>
    <t>AG</t>
  </si>
  <si>
    <t>CH</t>
  </si>
  <si>
    <t>MA</t>
  </si>
  <si>
    <t>RN</t>
  </si>
  <si>
    <t>EK</t>
  </si>
  <si>
    <t>AW</t>
  </si>
  <si>
    <t>KB</t>
  </si>
  <si>
    <t>NM</t>
  </si>
  <si>
    <t>DS</t>
  </si>
  <si>
    <t>JS</t>
  </si>
  <si>
    <t>DW</t>
  </si>
  <si>
    <t>MZ</t>
  </si>
  <si>
    <t>MC</t>
  </si>
  <si>
    <t>SC</t>
  </si>
  <si>
    <t>BC</t>
  </si>
  <si>
    <t>KW</t>
  </si>
  <si>
    <t>EW</t>
  </si>
  <si>
    <t>CI</t>
  </si>
  <si>
    <t>JC</t>
  </si>
  <si>
    <t>JW</t>
  </si>
  <si>
    <t>KJ</t>
  </si>
  <si>
    <t>YQ</t>
  </si>
  <si>
    <t>Directed</t>
  </si>
  <si>
    <t>&lt;?xml version="1.0" encoding="utf-8"?&gt;_x000D_
&lt;configuration&gt;_x000D_
  &lt;configSections&gt;_x000D_
    &lt;sectionGroup name="userSettings" type="System.Configuration.UserSettingsGroup, System, Version=2.0.0.0, Culture=neutral, PublicKeyToken=b77a5c561934e089"&gt;_x000D_
      &lt;section name="LayoutUserSettings"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&lt;/sectionGroup&gt;_x000D_
  &lt;/configSections&gt;_x000D_
  &lt;userSettings&gt;_x000D_
    &lt;LayoutUserSettings&gt;_x000D_
      &lt;setting name="Layout" serializeAs="String"&gt;_x000D_
        &lt;value&gt;HarelKorenFastMultiscale&lt;/value&gt;_x000D_
      &lt;/setting&gt;_x000D_
    &lt;/LayoutUserSettings&gt;_x000D_
    &lt;GeneralUserSettings4&gt;_x000D_
      &lt;setting name="ShowGraphLegend" serializeAs="String"&gt;_x000D_
        &lt;value&gt;False&lt;/value&gt;_x000D_
      &lt;/setting&gt;_x000D_
      &lt;setting name="ReadEdgeLabels" serializeAs="String"&gt;_x000D_
        &lt;value&gt;True&lt;/value&gt;_x000D_
      &lt;/setting&gt;_x000D_
      &lt;setting name="ShowGraphAxes" serializeAs="String"&gt;_x000D_
        &lt;value&gt;False&lt;/value&gt;_x000D_
      &lt;/setting&gt;_x000D_
      &lt;setting name="ReadGroupLabels" serializeAs="String"&gt;_x000D_
        &lt;value&gt;True&lt;/value&gt;_x000D_
      &lt;/setting&gt;_x000D_
      &lt;setting name="ReadVertexLabels" serializeAs="String"&gt;_x000D_
        &lt;value&gt;True&lt;/value&gt;_x000D_
      &lt;/setting&gt;_x000D_
      &lt;setting name="NewWorkbookGraphDirectedness" serializeAs="String"&gt;_x000D_
        &lt;value&gt;Directed&lt;/value&gt;_x000D_
      &lt;/setting&gt;_x000D_
    &lt;/GeneralUserSettings4&gt;_x000D_
    &lt;GraphZoomAndScaleUserSettings&gt;_x000D_
      &lt;setting name="GraphScale" serializeAs="String"&gt;_x000D_
        &lt;value&gt;1&lt;/value&gt;_x000D_
      &lt;/setting&gt;_x000D_
    &lt;/GraphZoomAndScaleUserSettings&gt;_x000D_
  &lt;/userSettings&gt;_x000D_
&lt;/configuration&gt;</t>
  </si>
  <si>
    <t>LayoutAlgorithm░The graph was laid out using the Harel-Koren Fast Multiscale layout algorithm.▓GraphDirectedness░The graph is directed.</t>
  </si>
  <si>
    <t>Major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</si>
</sst>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00"/>
    <numFmt numFmtId="167" formatCode="0.000"/>
  </numFmts>
  <fonts count="12"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0"/>
      <color indexed="8"/>
      <name val="Arial"/>
      <family val="2"/>
    </font>
    <font>
      <sz val="11"/>
      <color indexed="8"/>
      <name val="Calibri"/>
      <family val="2"/>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22"/>
      </left>
      <right style="thin">
        <color indexed="22"/>
      </right>
      <top style="thin">
        <color indexed="22"/>
      </top>
      <bottom style="thin">
        <color indexed="22"/>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0" fillId="0" borderId="0"/>
  </cellStyleXfs>
  <cellXfs count="90">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67" fontId="5" fillId="4" borderId="1" xfId="5" applyNumberFormat="1" applyAlignment="1"/>
    <xf numFmtId="0" fontId="0" fillId="5" borderId="1" xfId="4" applyNumberFormat="1" applyFont="1" applyAlignment="1">
      <alignment wrapText="1"/>
    </xf>
    <xf numFmtId="164" fontId="0" fillId="5" borderId="1" xfId="4" applyNumberFormat="1" applyFont="1" applyAlignment="1">
      <alignment wrapText="1"/>
    </xf>
    <xf numFmtId="1" fontId="0" fillId="5" borderId="1" xfId="4" applyNumberFormat="1" applyFont="1" applyAlignment="1">
      <alignment wrapText="1"/>
    </xf>
    <xf numFmtId="0" fontId="6" fillId="6" borderId="1" xfId="6" applyNumberFormat="1" applyAlignment="1">
      <alignment wrapText="1"/>
    </xf>
    <xf numFmtId="49" fontId="6" fillId="6" borderId="1" xfId="6" applyNumberFormat="1" applyAlignment="1">
      <alignment wrapText="1"/>
    </xf>
    <xf numFmtId="0" fontId="0" fillId="2" borderId="1" xfId="1" applyNumberFormat="1" applyFont="1" applyAlignment="1">
      <alignment wrapText="1"/>
    </xf>
    <xf numFmtId="0" fontId="5" fillId="2" borderId="1" xfId="1" applyNumberFormat="1"/>
    <xf numFmtId="0" fontId="6" fillId="6" borderId="1" xfId="6"/>
    <xf numFmtId="0" fontId="6" fillId="6" borderId="1" xfId="6" applyNumberFormat="1"/>
    <xf numFmtId="0" fontId="5" fillId="4" borderId="1" xfId="5" applyNumberFormat="1" applyAlignment="1">
      <alignment wrapText="1"/>
    </xf>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9" fontId="11" fillId="0" borderId="11" xfId="3" applyNumberFormat="1" applyFont="1" applyBorder="1" applyAlignment="1">
      <alignment wrapText="1"/>
    </xf>
    <xf numFmtId="164" fontId="0" fillId="5" borderId="1" xfId="4" applyNumberFormat="1" applyFont="1"/>
    <xf numFmtId="1" fontId="0" fillId="5" borderId="1" xfId="4" applyNumberFormat="1" applyFont="1"/>
    <xf numFmtId="164" fontId="0" fillId="3" borderId="1" xfId="7" applyNumberFormat="1" applyFont="1"/>
    <xf numFmtId="165" fontId="0" fillId="3" borderId="1" xfId="7" applyNumberFormat="1" applyFont="1"/>
    <xf numFmtId="166" fontId="0" fillId="3" borderId="1" xfId="7" applyNumberFormat="1" applyFont="1"/>
    <xf numFmtId="1" fontId="0" fillId="4" borderId="1" xfId="5" applyNumberFormat="1" applyFont="1" applyAlignment="1"/>
    <xf numFmtId="167" fontId="0" fillId="4" borderId="1" xfId="5" applyNumberFormat="1" applyFont="1" applyAlignment="1"/>
    <xf numFmtId="0" fontId="0" fillId="2" borderId="1" xfId="1" applyNumberFormat="1" applyFont="1"/>
    <xf numFmtId="49" fontId="11" fillId="0" borderId="11" xfId="9" applyNumberFormat="1" applyFont="1" applyFill="1" applyBorder="1" applyAlignment="1">
      <alignment horizontal="right" wrapText="1"/>
    </xf>
    <xf numFmtId="49" fontId="11" fillId="0" borderId="11" xfId="9" applyNumberFormat="1" applyFont="1" applyFill="1" applyBorder="1" applyAlignment="1">
      <alignment wrapText="1"/>
    </xf>
    <xf numFmtId="0" fontId="11" fillId="0" borderId="11" xfId="9" applyFont="1" applyFill="1" applyBorder="1" applyAlignment="1">
      <alignment wrapText="1"/>
    </xf>
    <xf numFmtId="49" fontId="10" fillId="0" borderId="0" xfId="9" applyNumberFormat="1"/>
    <xf numFmtId="0" fontId="11" fillId="0" borderId="11" xfId="9" applyFont="1" applyFill="1" applyBorder="1" applyAlignment="1">
      <alignment wrapText="1"/>
    </xf>
    <xf numFmtId="0" fontId="10" fillId="0" borderId="0" xfId="9" applyAlignment="1">
      <alignment wrapText="1"/>
    </xf>
    <xf numFmtId="0" fontId="11" fillId="0" borderId="11" xfId="9" applyFont="1" applyFill="1" applyBorder="1" applyAlignment="1">
      <alignment wrapText="1"/>
    </xf>
    <xf numFmtId="0" fontId="11" fillId="0" borderId="11" xfId="9" applyFont="1" applyFill="1" applyBorder="1" applyAlignment="1">
      <alignment horizontal="right" wrapText="1"/>
    </xf>
    <xf numFmtId="0" fontId="6" fillId="6" borderId="2" xfId="6" applyNumberFormat="1" applyBorder="1"/>
    <xf numFmtId="0" fontId="10" fillId="0" borderId="11" xfId="9" applyBorder="1" applyAlignment="1">
      <alignment wrapText="1"/>
    </xf>
    <xf numFmtId="0" fontId="11" fillId="0" borderId="0" xfId="9" applyFont="1" applyFill="1" applyBorder="1" applyAlignment="1">
      <alignment wrapText="1"/>
    </xf>
  </cellXfs>
  <cellStyles count="10">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 name="Normal_Sheet1" xfId="9"/>
  </cellStyles>
  <dxfs count="106">
    <dxf>
      <numFmt numFmtId="0" formatCode="General"/>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dxf>
    <dxf>
      <numFmt numFmtId="30" formatCode="@"/>
    </dxf>
    <dxf>
      <numFmt numFmtId="30" formatCode="@"/>
    </dxf>
    <dxf>
      <numFmt numFmtId="30" formatCode="@"/>
    </dxf>
    <dxf>
      <numFmt numFmtId="30" formatCode="@"/>
    </dxf>
    <dxf>
      <numFmt numFmtId="30" formatCode="@"/>
    </dxf>
    <dxf>
      <numFmt numFmtId="0" formatCode="General"/>
    </dxf>
    <dxf>
      <numFmt numFmtId="0" formatCode="General"/>
    </dxf>
    <dxf>
      <numFmt numFmtId="0" formatCode="General"/>
    </dxf>
    <dxf>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relativeIndent="0" justifyLastLine="0" shrinkToFit="0" readingOrder="0"/>
    </dxf>
    <dxf>
      <numFmt numFmtId="166" formatCode="#,##0.000"/>
    </dxf>
    <dxf>
      <numFmt numFmtId="166" formatCode="#,##0.000"/>
    </dxf>
    <dxf>
      <numFmt numFmtId="0" formatCode="General"/>
    </dxf>
    <dxf>
      <numFmt numFmtId="165" formatCode="#,##0.0"/>
    </dxf>
    <dxf>
      <numFmt numFmtId="165" formatCode="#,##0.0"/>
    </dxf>
    <dxf>
      <numFmt numFmtId="164" formatCode="0.0"/>
    </dxf>
    <dxf>
      <numFmt numFmtId="30" formatCode="@"/>
    </dxf>
    <dxf>
      <numFmt numFmtId="0" formatCode="General"/>
    </dxf>
    <dxf>
      <numFmt numFmtId="0" formatCode="General"/>
    </dxf>
    <dxf>
      <numFmt numFmtId="0" formatCode="General"/>
    </dxf>
    <dxf>
      <numFmt numFmtId="0" formatCode="General"/>
    </dxf>
    <dxf>
      <numFmt numFmtId="0" formatCode="General"/>
    </dxf>
    <dxf>
      <numFmt numFmtId="1" formatCode="0"/>
    </dxf>
    <dxf>
      <numFmt numFmtId="164" formatCode="0.0"/>
    </dxf>
    <dxf>
      <numFmt numFmtId="0" formatCode="General"/>
    </dxf>
    <dxf>
      <numFmt numFmtId="0" formatCode="General"/>
    </dxf>
    <dxf>
      <numFmt numFmtId="30" formatCode="@"/>
    </dxf>
    <dxf>
      <numFmt numFmtId="30" formatCode="@"/>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relativeIndent="0" justifyLastLine="0" shrinkToFit="0" readingOrder="0"/>
    </dxf>
    <dxf>
      <numFmt numFmtId="0" formatCode="General"/>
      <alignment horizontal="general" vertical="bottom" textRotation="0" wrapText="1" relativeIndent="0" justifyLastLine="0" shrinkToFit="0" readingOrder="0"/>
    </dxf>
    <dxf>
      <numFmt numFmtId="0" formatCode="General"/>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1" formatCode="0"/>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1" indent="0" justifyLastLine="0" shrinkToFit="0" readingOrder="0"/>
    </dxf>
    <dxf>
      <numFmt numFmtId="164" formatCode="0.0"/>
      <alignment horizontal="general" vertical="bottom" textRotation="0" wrapText="1" indent="0" justifyLastLine="0" shrinkToFit="0" readingOrder="0"/>
    </dxf>
    <dxf>
      <numFmt numFmtId="0" formatCode="General"/>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i/>
      </font>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s>
  <tableStyles count="1" defaultTableStyle="TableStyleMedium9" defaultPivotStyle="PivotStyleLight16">
    <tableStyle name="NodeXL Table" pivot="0" count="1">
      <tableStyleElement type="headerRow"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Metrics'!$E$2:$E$45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B2BA-4067-B402-1C6B1880D5E1}"/>
            </c:ext>
          </c:extLst>
        </c:ser>
        <c:dLbls>
          <c:showLegendKey val="0"/>
          <c:showVal val="0"/>
          <c:showCatName val="0"/>
          <c:showSerName val="0"/>
          <c:showPercent val="0"/>
          <c:showBubbleSize val="0"/>
        </c:dLbls>
        <c:gapWidth val="0"/>
        <c:axId val="821408112"/>
        <c:axId val="821408672"/>
      </c:barChart>
      <c:catAx>
        <c:axId val="821408112"/>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821408672"/>
        <c:crosses val="autoZero"/>
        <c:auto val="1"/>
        <c:lblAlgn val="ctr"/>
        <c:lblOffset val="100"/>
        <c:noMultiLvlLbl val="0"/>
      </c:catAx>
      <c:valAx>
        <c:axId val="8214086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14081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Metrics'!$G$2:$G$45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1180-4AC6-A4D7-6B4BA2FA732F}"/>
            </c:ext>
          </c:extLst>
        </c:ser>
        <c:dLbls>
          <c:showLegendKey val="0"/>
          <c:showVal val="0"/>
          <c:showCatName val="0"/>
          <c:showSerName val="0"/>
          <c:showPercent val="0"/>
          <c:showBubbleSize val="0"/>
        </c:dLbls>
        <c:gapWidth val="0"/>
        <c:axId val="823599136"/>
        <c:axId val="823599696"/>
      </c:barChart>
      <c:catAx>
        <c:axId val="823599136"/>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823599696"/>
        <c:crosses val="autoZero"/>
        <c:auto val="1"/>
        <c:lblAlgn val="ctr"/>
        <c:lblOffset val="100"/>
        <c:noMultiLvlLbl val="0"/>
      </c:catAx>
      <c:valAx>
        <c:axId val="823599696"/>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3599136"/>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Metrics'!$I$2:$I$45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BDC9-47C4-83B6-B6A4CA36B04A}"/>
            </c:ext>
          </c:extLst>
        </c:ser>
        <c:dLbls>
          <c:showLegendKey val="0"/>
          <c:showVal val="0"/>
          <c:showCatName val="0"/>
          <c:showSerName val="0"/>
          <c:showPercent val="0"/>
          <c:showBubbleSize val="0"/>
        </c:dLbls>
        <c:gapWidth val="0"/>
        <c:axId val="823688128"/>
        <c:axId val="823688688"/>
      </c:barChart>
      <c:catAx>
        <c:axId val="823688128"/>
        <c:scaling>
          <c:orientation val="minMax"/>
        </c:scaling>
        <c:delete val="1"/>
        <c:axPos val="b"/>
        <c:title>
          <c:tx>
            <c:rich>
              <a:bodyPr/>
              <a:lstStyle/>
              <a:p>
                <a:pPr>
                  <a:defRPr/>
                </a:pPr>
                <a:r>
                  <a:rPr lang="en-US"/>
                  <a:t>Out-Degree</a:t>
                </a:r>
              </a:p>
            </c:rich>
          </c:tx>
          <c:layout>
            <c:manualLayout>
              <c:xMode val="edge"/>
              <c:yMode val="edge"/>
              <c:x val="0.41379516818709683"/>
              <c:y val="0.80898890864450279"/>
            </c:manualLayout>
          </c:layout>
          <c:overlay val="0"/>
        </c:title>
        <c:numFmt formatCode="#,##0.00" sourceLinked="1"/>
        <c:majorTickMark val="out"/>
        <c:minorTickMark val="none"/>
        <c:tickLblPos val="none"/>
        <c:crossAx val="823688688"/>
        <c:crosses val="autoZero"/>
        <c:auto val="1"/>
        <c:lblAlgn val="ctr"/>
        <c:lblOffset val="100"/>
        <c:noMultiLvlLbl val="0"/>
      </c:catAx>
      <c:valAx>
        <c:axId val="82368868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368812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Metrics'!$K$2:$K$45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7113-4752-9C1F-5E5DE6659333}"/>
            </c:ext>
          </c:extLst>
        </c:ser>
        <c:dLbls>
          <c:showLegendKey val="0"/>
          <c:showVal val="0"/>
          <c:showCatName val="0"/>
          <c:showSerName val="0"/>
          <c:showPercent val="0"/>
          <c:showBubbleSize val="0"/>
        </c:dLbls>
        <c:gapWidth val="0"/>
        <c:axId val="823690928"/>
        <c:axId val="823691488"/>
      </c:barChart>
      <c:catAx>
        <c:axId val="823690928"/>
        <c:scaling>
          <c:orientation val="minMax"/>
        </c:scaling>
        <c:delete val="1"/>
        <c:axPos val="b"/>
        <c:title>
          <c:tx>
            <c:rich>
              <a:bodyPr/>
              <a:lstStyle/>
              <a:p>
                <a:pPr>
                  <a:defRPr/>
                </a:pPr>
                <a:r>
                  <a:rPr lang="en-US"/>
                  <a:t>Betweenness Centrality</a:t>
                </a:r>
              </a:p>
            </c:rich>
          </c:tx>
          <c:layout>
            <c:manualLayout>
              <c:xMode val="edge"/>
              <c:yMode val="edge"/>
              <c:x val="0.32728710116056126"/>
              <c:y val="0.82619320971975252"/>
            </c:manualLayout>
          </c:layout>
          <c:overlay val="0"/>
        </c:title>
        <c:numFmt formatCode="#,##0.00" sourceLinked="1"/>
        <c:majorTickMark val="out"/>
        <c:minorTickMark val="none"/>
        <c:tickLblPos val="none"/>
        <c:crossAx val="823691488"/>
        <c:crosses val="autoZero"/>
        <c:auto val="1"/>
        <c:lblAlgn val="ctr"/>
        <c:lblOffset val="100"/>
        <c:noMultiLvlLbl val="0"/>
      </c:catAx>
      <c:valAx>
        <c:axId val="82369148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369092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Metrics'!$M$2:$M$45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FBF7-47C9-88B5-EA7DBDC05F3A}"/>
            </c:ext>
          </c:extLst>
        </c:ser>
        <c:dLbls>
          <c:showLegendKey val="0"/>
          <c:showVal val="0"/>
          <c:showCatName val="0"/>
          <c:showSerName val="0"/>
          <c:showPercent val="0"/>
          <c:showBubbleSize val="0"/>
        </c:dLbls>
        <c:gapWidth val="0"/>
        <c:axId val="824173104"/>
        <c:axId val="824173664"/>
      </c:barChart>
      <c:catAx>
        <c:axId val="824173104"/>
        <c:scaling>
          <c:orientation val="minMax"/>
        </c:scaling>
        <c:delete val="1"/>
        <c:axPos val="b"/>
        <c:title>
          <c:tx>
            <c:rich>
              <a:bodyPr/>
              <a:lstStyle/>
              <a:p>
                <a:pPr>
                  <a:defRPr/>
                </a:pPr>
                <a:r>
                  <a:rPr lang="en-US"/>
                  <a:t>Closeness Centrality</a:t>
                </a:r>
              </a:p>
            </c:rich>
          </c:tx>
          <c:layout>
            <c:manualLayout>
              <c:xMode val="edge"/>
              <c:yMode val="edge"/>
              <c:x val="0.35406086287408589"/>
              <c:y val="0.82619320971975252"/>
            </c:manualLayout>
          </c:layout>
          <c:overlay val="0"/>
        </c:title>
        <c:numFmt formatCode="#,##0.00" sourceLinked="1"/>
        <c:majorTickMark val="out"/>
        <c:minorTickMark val="none"/>
        <c:tickLblPos val="none"/>
        <c:crossAx val="824173664"/>
        <c:crosses val="autoZero"/>
        <c:auto val="1"/>
        <c:lblAlgn val="ctr"/>
        <c:lblOffset val="100"/>
        <c:noMultiLvlLbl val="0"/>
      </c:catAx>
      <c:valAx>
        <c:axId val="82417366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417310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Metrics'!$O$2:$O$45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AE7B-46B3-9D03-9F5FBEA6B273}"/>
            </c:ext>
          </c:extLst>
        </c:ser>
        <c:dLbls>
          <c:showLegendKey val="0"/>
          <c:showVal val="0"/>
          <c:showCatName val="0"/>
          <c:showSerName val="0"/>
          <c:showPercent val="0"/>
          <c:showBubbleSize val="0"/>
        </c:dLbls>
        <c:gapWidth val="0"/>
        <c:axId val="824245712"/>
        <c:axId val="824246272"/>
      </c:barChart>
      <c:catAx>
        <c:axId val="824245712"/>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66"/>
              <c:y val="0.82619320971975252"/>
            </c:manualLayout>
          </c:layout>
          <c:overlay val="0"/>
        </c:title>
        <c:numFmt formatCode="#,##0.00" sourceLinked="1"/>
        <c:majorTickMark val="out"/>
        <c:minorTickMark val="none"/>
        <c:tickLblPos val="none"/>
        <c:crossAx val="824246272"/>
        <c:crosses val="autoZero"/>
        <c:auto val="1"/>
        <c:lblAlgn val="ctr"/>
        <c:lblOffset val="100"/>
        <c:noMultiLvlLbl val="0"/>
      </c:catAx>
      <c:valAx>
        <c:axId val="8242462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42457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Metrics'!$S$2:$S$45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1204-4882-B5DB-BB938B2AF120}"/>
            </c:ext>
          </c:extLst>
        </c:ser>
        <c:dLbls>
          <c:showLegendKey val="0"/>
          <c:showVal val="0"/>
          <c:showCatName val="0"/>
          <c:showSerName val="0"/>
          <c:showPercent val="0"/>
          <c:showBubbleSize val="0"/>
        </c:dLbls>
        <c:gapWidth val="0"/>
        <c:axId val="824248512"/>
        <c:axId val="824331168"/>
      </c:barChart>
      <c:catAx>
        <c:axId val="824248512"/>
        <c:scaling>
          <c:orientation val="minMax"/>
        </c:scaling>
        <c:delete val="1"/>
        <c:axPos val="b"/>
        <c:title>
          <c:tx>
            <c:rich>
              <a:bodyPr/>
              <a:lstStyle/>
              <a:p>
                <a:pPr>
                  <a:defRPr/>
                </a:pPr>
                <a:r>
                  <a:rPr lang="en-US"/>
                  <a:t>Clustering Coefficient</a:t>
                </a:r>
              </a:p>
            </c:rich>
          </c:tx>
          <c:layout>
            <c:manualLayout>
              <c:xMode val="edge"/>
              <c:yMode val="edge"/>
              <c:x val="0.33732726180313388"/>
              <c:y val="0.82619320971975252"/>
            </c:manualLayout>
          </c:layout>
          <c:overlay val="0"/>
        </c:title>
        <c:numFmt formatCode="#,##0.00" sourceLinked="1"/>
        <c:majorTickMark val="out"/>
        <c:minorTickMark val="none"/>
        <c:tickLblPos val="none"/>
        <c:crossAx val="824331168"/>
        <c:crosses val="autoZero"/>
        <c:auto val="1"/>
        <c:lblAlgn val="ctr"/>
        <c:lblOffset val="100"/>
        <c:noMultiLvlLbl val="0"/>
      </c:catAx>
      <c:valAx>
        <c:axId val="8243311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42485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Metrics'!$Q$2:$Q$45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2FCA-4FF9-985E-CCB87CB679DD}"/>
            </c:ext>
          </c:extLst>
        </c:ser>
        <c:dLbls>
          <c:showLegendKey val="0"/>
          <c:showVal val="0"/>
          <c:showCatName val="0"/>
          <c:showSerName val="0"/>
          <c:showPercent val="0"/>
          <c:showBubbleSize val="0"/>
        </c:dLbls>
        <c:gapWidth val="0"/>
        <c:axId val="824333408"/>
        <c:axId val="824333968"/>
      </c:barChart>
      <c:catAx>
        <c:axId val="824333408"/>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824333968"/>
        <c:crosses val="autoZero"/>
        <c:auto val="1"/>
        <c:lblAlgn val="ctr"/>
        <c:lblOffset val="100"/>
        <c:noMultiLvlLbl val="0"/>
      </c:catAx>
      <c:valAx>
        <c:axId val="824333968"/>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824333408"/>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46E-3"/>
          <c:y val="8.0430855234004828E-3"/>
          <c:w val="0.99723592884220302"/>
          <c:h val="0.98391246548723688"/>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Metrics'!$U$2:$U$45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extLst>
            <c:ext xmlns:c16="http://schemas.microsoft.com/office/drawing/2014/chart" uri="{C3380CC4-5D6E-409C-BE32-E72D297353CC}">
              <c16:uniqueId val="{00000000-54F9-4C31-A8FF-D57FCA643532}"/>
            </c:ext>
          </c:extLst>
        </c:ser>
        <c:dLbls>
          <c:showLegendKey val="0"/>
          <c:showVal val="0"/>
          <c:showCatName val="0"/>
          <c:showSerName val="0"/>
          <c:showPercent val="0"/>
          <c:showBubbleSize val="0"/>
        </c:dLbls>
        <c:gapWidth val="0"/>
        <c:axId val="720826880"/>
        <c:axId val="720827440"/>
      </c:barChart>
      <c:catAx>
        <c:axId val="720826880"/>
        <c:scaling>
          <c:orientation val="minMax"/>
        </c:scaling>
        <c:delete val="1"/>
        <c:axPos val="b"/>
        <c:numFmt formatCode="#,##0.00" sourceLinked="1"/>
        <c:majorTickMark val="out"/>
        <c:minorTickMark val="none"/>
        <c:tickLblPos val="none"/>
        <c:crossAx val="720827440"/>
        <c:crosses val="autoZero"/>
        <c:auto val="1"/>
        <c:lblAlgn val="ctr"/>
        <c:lblOffset val="100"/>
        <c:noMultiLvlLbl val="0"/>
      </c:catAx>
      <c:valAx>
        <c:axId val="720827440"/>
        <c:scaling>
          <c:orientation val="minMax"/>
        </c:scaling>
        <c:delete val="1"/>
        <c:axPos val="l"/>
        <c:numFmt formatCode="General" sourceLinked="1"/>
        <c:majorTickMark val="out"/>
        <c:minorTickMark val="none"/>
        <c:tickLblPos val="none"/>
        <c:crossAx val="720826880"/>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34</xdr:row>
      <xdr:rowOff>38100</xdr:rowOff>
    </xdr:from>
    <xdr:to>
      <xdr:col>1</xdr:col>
      <xdr:colOff>918209</xdr:colOff>
      <xdr:row>41</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48</xdr:row>
      <xdr:rowOff>38100</xdr:rowOff>
    </xdr:from>
    <xdr:to>
      <xdr:col>1</xdr:col>
      <xdr:colOff>918209</xdr:colOff>
      <xdr:row>55</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62</xdr:row>
      <xdr:rowOff>28575</xdr:rowOff>
    </xdr:from>
    <xdr:to>
      <xdr:col>1</xdr:col>
      <xdr:colOff>918209</xdr:colOff>
      <xdr:row>69</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76</xdr:row>
      <xdr:rowOff>9525</xdr:rowOff>
    </xdr:from>
    <xdr:to>
      <xdr:col>1</xdr:col>
      <xdr:colOff>918210</xdr:colOff>
      <xdr:row>83</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90</xdr:row>
      <xdr:rowOff>19050</xdr:rowOff>
    </xdr:from>
    <xdr:to>
      <xdr:col>2</xdr:col>
      <xdr:colOff>0</xdr:colOff>
      <xdr:row>97</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104</xdr:row>
      <xdr:rowOff>19050</xdr:rowOff>
    </xdr:from>
    <xdr:to>
      <xdr:col>1</xdr:col>
      <xdr:colOff>918210</xdr:colOff>
      <xdr:row>111</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132</xdr:row>
      <xdr:rowOff>9525</xdr:rowOff>
    </xdr:from>
    <xdr:to>
      <xdr:col>1</xdr:col>
      <xdr:colOff>918210</xdr:colOff>
      <xdr:row>139</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118</xdr:row>
      <xdr:rowOff>0</xdr:rowOff>
    </xdr:from>
    <xdr:to>
      <xdr:col>1</xdr:col>
      <xdr:colOff>918210</xdr:colOff>
      <xdr:row>125</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O227" totalsRowShown="0" headerRowDxfId="103" dataDxfId="102">
  <autoFilter ref="A2:O227"/>
  <tableColumns count="15">
    <tableColumn id="1" name="Vertex 1" dataDxfId="101" dataCellStyle="NodeXL Required"/>
    <tableColumn id="2" name="Vertex 2" dataDxfId="100" dataCellStyle="NodeXL Required"/>
    <tableColumn id="3" name="Color" dataDxfId="99" dataCellStyle="NodeXL Visual Property"/>
    <tableColumn id="4" name="Width" dataDxfId="98" dataCellStyle="NodeXL Visual Property"/>
    <tableColumn id="11" name="Style" dataDxfId="97" dataCellStyle="NodeXL Visual Property"/>
    <tableColumn id="5" name="Opacity" dataDxfId="96" dataCellStyle="NodeXL Visual Property"/>
    <tableColumn id="6" name="Visibility" dataDxfId="95" dataCellStyle="NodeXL Visual Property"/>
    <tableColumn id="10" name="Label" dataDxfId="94" dataCellStyle="NodeXL Label"/>
    <tableColumn id="12" name="Label Text Color" dataDxfId="93" dataCellStyle="NodeXL Label"/>
    <tableColumn id="13" name="Label Font Size" dataDxfId="92" dataCellStyle="NodeXL Label"/>
    <tableColumn id="14" name="Reciprocated?" dataDxfId="91" dataCellStyle="NodeXL Graph Metric"/>
    <tableColumn id="7" name="ID" dataDxfId="90" dataCellStyle="NodeXL Do Not Edit"/>
    <tableColumn id="9" name="Dynamic Filter" dataDxfId="89" dataCellStyle="NodeXL Do Not Edit"/>
    <tableColumn id="8" name="Recognition" dataDxfId="88" dataCellStyle="NodeXL Other Column"/>
    <tableColumn id="15" name="Friendship" dataDxfId="87"/>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1">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J49" totalsRowShown="0" headerRowDxfId="86" dataDxfId="85">
  <autoFilter ref="A2:AJ49"/>
  <sortState ref="A3:AI57">
    <sortCondition ref="A3:A57"/>
  </sortState>
  <tableColumns count="36">
    <tableColumn id="1" name="Vertex" dataDxfId="84" dataCellStyle="NodeXL Required"/>
    <tableColumn id="2" name="Color" dataDxfId="83" dataCellStyle="NodeXL Visual Property">
      <calculatedColumnFormula>IF(Vertices[[#This Row],[Gender]]="F","Red","Blue")</calculatedColumnFormula>
    </tableColumn>
    <tableColumn id="5" name="Shape" dataDxfId="82" dataCellStyle="NodeXL Visual Property">
      <calculatedColumnFormula>IF(Vertices[[#This Row],[ACCT]]="x",2,IF(Vertices[[#This Row],[IE]]="x",10,IF(Vertices[[#This Row],[MS-MIS]]="x",7,IF(Vertices[[#This Row],[MBA]]="x",9,5))))</calculatedColumnFormula>
    </tableColumn>
    <tableColumn id="6" name="Size" dataDxfId="81" dataCellStyle="NodeXL Visual Property">
      <calculatedColumnFormula>10</calculatedColumnFormula>
    </tableColumn>
    <tableColumn id="4" name="Opacity" dataDxfId="80" dataCellStyle="NodeXL Visual Property"/>
    <tableColumn id="7" name="Image File" dataDxfId="79" dataCellStyle="NodeXL Visual Property"/>
    <tableColumn id="3" name="Visibility" dataDxfId="78" dataCellStyle="NodeXL Visual Property"/>
    <tableColumn id="10" name="Label" dataDxfId="77" dataCellStyle="NodeXL Label">
      <calculatedColumnFormula>Vertices[[#This Row],[Status]]</calculatedColumnFormula>
    </tableColumn>
    <tableColumn id="16" name="Label Fill Color" dataDxfId="76" dataCellStyle="NodeXL Label"/>
    <tableColumn id="9" name="Label Position" dataDxfId="75" dataCellStyle="NodeXL Label"/>
    <tableColumn id="8" name="Tooltip" dataDxfId="74" dataCellStyle="NodeXL Label"/>
    <tableColumn id="18" name="Layout Order" dataDxfId="73" dataCellStyle="NodeXL Layout"/>
    <tableColumn id="13" name="X" dataDxfId="72" dataCellStyle="NodeXL Layout"/>
    <tableColumn id="14" name="Y" dataDxfId="71" dataCellStyle="NodeXL Layout"/>
    <tableColumn id="12" name="Locked?" dataDxfId="70" dataCellStyle="NodeXL Layout"/>
    <tableColumn id="19" name="Polar R" dataDxfId="69" dataCellStyle="NodeXL Layout"/>
    <tableColumn id="20" name="Polar Angle" dataDxfId="68" dataCellStyle="NodeXL Layout"/>
    <tableColumn id="21" name="Degree" dataDxfId="67" dataCellStyle="NodeXL Graph Metric"/>
    <tableColumn id="22" name="In-Degree" dataDxfId="66" dataCellStyle="NodeXL Graph Metric"/>
    <tableColumn id="23" name="Out-Degree" dataDxfId="65" dataCellStyle="NodeXL Graph Metric"/>
    <tableColumn id="24" name="Betweenness Centrality" dataDxfId="64" dataCellStyle="NodeXL Graph Metric"/>
    <tableColumn id="25" name="Closeness Centrality" dataDxfId="63" dataCellStyle="NodeXL Graph Metric"/>
    <tableColumn id="26" name="Eigenvector Centrality" dataDxfId="62" dataCellStyle="NodeXL Graph Metric"/>
    <tableColumn id="15" name="PageRank" dataDxfId="61" dataCellStyle="NodeXL Graph Metric"/>
    <tableColumn id="27" name="Clustering Coefficient" dataDxfId="60" dataCellStyle="NodeXL Graph Metric"/>
    <tableColumn id="29" name="Reciprocated Vertex Pair Ratio" dataDxfId="59" dataCellStyle="NodeXL Graph Metric"/>
    <tableColumn id="11" name="ID" dataDxfId="58" dataCellStyle="NodeXL Do Not Edit"/>
    <tableColumn id="28" name="Dynamic Filter" dataDxfId="57" dataCellStyle="NodeXL Do Not Edit"/>
    <tableColumn id="17" name="Gender" dataDxfId="56" dataCellStyle="NodeXL Other Column"/>
    <tableColumn id="30" name="Status" dataDxfId="55"/>
    <tableColumn id="31" name="ACCT" dataDxfId="54"/>
    <tableColumn id="32" name="IE" dataDxfId="53"/>
    <tableColumn id="33" name="MS-MIS" dataDxfId="52"/>
    <tableColumn id="34" name="MBA" dataDxfId="51"/>
    <tableColumn id="35" name="Group" dataDxfId="50"/>
    <tableColumn id="36" name="Major" dataDxfId="0">
      <calculatedColumnFormula>IF(Vertices[[#This Row],[ACCT]]="x",Vertices[[#Headers],[ACCT]],IF(Vertices[[#This Row],[IE]]="x",Vertices[[#Headers],[IE]],IF(Vertices[[#This Row],[MS-MIS]]="x",Vertices[[#Headers],[MS-MIS]],Vertices[[#Headers],[MBA]])))</calculatedColumnFormula>
    </tableColumn>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insertRow="1" totalsRowShown="0" headerRowDxfId="49">
  <autoFilter ref="A2:X3"/>
  <tableColumns count="24">
    <tableColumn id="1" name="Group" dataDxfId="48" dataCellStyle="NodeXL Required"/>
    <tableColumn id="2" name="Vertex Color" dataDxfId="47" dataCellStyle="NodeXL Visual Property"/>
    <tableColumn id="3" name="Vertex Shape" dataDxfId="46" dataCellStyle="NodeXL Visual Property"/>
    <tableColumn id="22" name="Visibility" dataDxfId="45" dataCellStyle="NodeXL Visual Property"/>
    <tableColumn id="4" name="Collapsed?" dataCellStyle="NodeXL Visual Property"/>
    <tableColumn id="18" name="Label" dataDxfId="44" dataCellStyle="NodeXL Label"/>
    <tableColumn id="20" name="Collapsed X" dataCellStyle="NodeXL Layout"/>
    <tableColumn id="21" name="Collapsed Y" dataCellStyle="NodeXL Layout"/>
    <tableColumn id="6" name="ID" dataDxfId="43" dataCellStyle="NodeXL Do Not Edit"/>
    <tableColumn id="19" name="Collapsed Properties" dataDxfId="42" dataCellStyle="NodeXL Do Not Edit"/>
    <tableColumn id="5" name="Vertices" dataDxfId="41" dataCellStyle="NodeXL Graph Metric"/>
    <tableColumn id="7" name="Unique Edges" dataDxfId="40" dataCellStyle="NodeXL Graph Metric"/>
    <tableColumn id="8" name="Edges With Duplicates" dataDxfId="39" dataCellStyle="NodeXL Graph Metric"/>
    <tableColumn id="9" name="Total Edges" dataDxfId="38" dataCellStyle="NodeXL Graph Metric"/>
    <tableColumn id="10" name="Self-Loops" dataDxfId="37" dataCellStyle="NodeXL Graph Metric"/>
    <tableColumn id="24" name="Reciprocated Vertex Pair Ratio" dataDxfId="36" dataCellStyle="NodeXL Graph Metric"/>
    <tableColumn id="25" name="Reciprocated Edge Ratio" dataDxfId="35" dataCellStyle="NodeXL Graph Metric"/>
    <tableColumn id="11" name="Connected Components" dataDxfId="34" dataCellStyle="NodeXL Graph Metric"/>
    <tableColumn id="12" name="Single-Vertex Connected Components" dataDxfId="33" dataCellStyle="NodeXL Graph Metric"/>
    <tableColumn id="13" name="Maximum Vertices in a Connected Component" dataDxfId="32" dataCellStyle="NodeXL Graph Metric"/>
    <tableColumn id="14" name="Maximum Edges in a Connected Component" dataDxfId="31" dataCellStyle="NodeXL Graph Metric"/>
    <tableColumn id="15" name="Maximum Geodesic Distance (Diameter)" dataDxfId="30" dataCellStyle="NodeXL Graph Metric"/>
    <tableColumn id="16" name="Average Geodesic Distance" dataDxfId="29" dataCellStyle="NodeXL Graph Metric"/>
    <tableColumn id="17" name="Graph Density" dataDxfId="28"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 totalsRowShown="0" headerRowDxfId="27" dataDxfId="26">
  <autoFilter ref="A1:C2"/>
  <tableColumns count="3">
    <tableColumn id="1" name="Group" dataDxfId="25"/>
    <tableColumn id="2" name="Vertex" dataDxfId="24"/>
    <tableColumn id="3" name="Vertex ID" dataDxfId="23"/>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6" totalsRowShown="0" dataCellStyle="NodeXL Graph Metric">
  <autoFilter ref="A1:B26"/>
  <tableColumns count="2">
    <tableColumn id="1" name="Graph Metric" dataDxfId="22" dataCellStyle="NodeXL Graph Metric"/>
    <tableColumn id="2" name="Value" dataDxfId="21"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45" totalsRowShown="0">
  <autoFilter ref="D1:U45"/>
  <tableColumns count="18">
    <tableColumn id="1" name="Degree Bin" dataDxfId="20"/>
    <tableColumn id="2" name="Degree Frequency" dataDxfId="19">
      <calculatedColumnFormula>COUNTIF(Vertices[Degree], "&gt;= " &amp; D2) - COUNTIF(Vertices[Degree], "&gt;=" &amp; D3)</calculatedColumnFormula>
    </tableColumn>
    <tableColumn id="3" name="In-Degree Bin" dataDxfId="18"/>
    <tableColumn id="4" name="In-Degree Frequency" dataDxfId="17">
      <calculatedColumnFormula>COUNTIF(Vertices[In-Degree], "&gt;= " &amp; F2) - COUNTIF(Vertices[In-Degree], "&gt;=" &amp; F3)</calculatedColumnFormula>
    </tableColumn>
    <tableColumn id="5" name="Out-Degree Bin" dataDxfId="16"/>
    <tableColumn id="6" name="Out-Degree Frequency" dataDxfId="15">
      <calculatedColumnFormula>COUNTIF(Vertices[Out-Degree], "&gt;= " &amp; H2) - COUNTIF(Vertices[Out-Degree], "&gt;=" &amp; H3)</calculatedColumnFormula>
    </tableColumn>
    <tableColumn id="7" name="Betweenness Centrality Bin" dataDxfId="14"/>
    <tableColumn id="8" name="Betweenness Centrality Frequency" dataDxfId="13">
      <calculatedColumnFormula>COUNTIF(Vertices[Betweenness Centrality], "&gt;= " &amp; J2) - COUNTIF(Vertices[Betweenness Centrality], "&gt;=" &amp; J3)</calculatedColumnFormula>
    </tableColumn>
    <tableColumn id="9" name="Closeness Centrality Bin" dataDxfId="12"/>
    <tableColumn id="10" name="Closeness Centrality Frequency" dataDxfId="11">
      <calculatedColumnFormula>COUNTIF(Vertices[Closeness Centrality], "&gt;= " &amp; L2) - COUNTIF(Vertices[Closeness Centrality], "&gt;=" &amp; L3)</calculatedColumnFormula>
    </tableColumn>
    <tableColumn id="11" name="Eigenvector Centrality Bin" dataDxfId="10"/>
    <tableColumn id="12" name="Eigenvector Centrality Frequency" dataDxfId="9">
      <calculatedColumnFormula>COUNTIF(Vertices[Eigenvector Centrality], "&gt;= " &amp; N2) - COUNTIF(Vertices[Eigenvector Centrality], "&gt;=" &amp; N3)</calculatedColumnFormula>
    </tableColumn>
    <tableColumn id="18" name="PageRank Bin" dataDxfId="8"/>
    <tableColumn id="17" name="PageRank Frequency" dataDxfId="7">
      <calculatedColumnFormula>COUNTIF(Vertices[Eigenvector Centrality], "&gt;= " &amp; P2) - COUNTIF(Vertices[Eigenvector Centrality], "&gt;=" &amp; P3)</calculatedColumnFormula>
    </tableColumn>
    <tableColumn id="13" name="Clustering Coefficient Bin" dataDxfId="6"/>
    <tableColumn id="14" name="Clustering Coefficient Frequency" dataDxfId="5">
      <calculatedColumnFormula>COUNTIF(Vertices[Clustering Coefficient], "&gt;= " &amp; R2) - COUNTIF(Vertices[Clustering Coefficient], "&gt;=" &amp; R3)</calculatedColumnFormula>
    </tableColumn>
    <tableColumn id="15" name="Dynamic Filter Bin" dataDxfId="4"/>
    <tableColumn id="16" name="Dynamic Filter Frequency" dataDxfId="3">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29:B32" totalsRowShown="0" dataCellStyle="NodeXL Graph Metric">
  <autoFilter ref="A29:B32"/>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7" totalsRowShown="0" headerRowDxfId="2">
  <autoFilter ref="J1:K7"/>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O227"/>
  <sheetViews>
    <sheetView tabSelected="1" workbookViewId="0">
      <pane xSplit="2" ySplit="2" topLeftCell="C3" activePane="bottomRight" state="frozen"/>
      <selection pane="topRight" activeCell="C1" sqref="C1"/>
      <selection pane="bottomLeft" activeCell="A3" sqref="A3"/>
      <selection pane="bottomRight" activeCell="A2" sqref="A2:O2"/>
    </sheetView>
  </sheetViews>
  <sheetFormatPr defaultRowHeight="15" x14ac:dyDescent="0.25"/>
  <cols>
    <col min="1" max="2" width="10.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hidden="1" customWidth="1"/>
    <col min="12" max="12" width="11" hidden="1" customWidth="1"/>
    <col min="13" max="13" width="10.85546875" hidden="1" customWidth="1"/>
    <col min="14" max="14" width="16" bestFit="1" customWidth="1"/>
    <col min="15" max="15" width="11" bestFit="1" customWidth="1"/>
  </cols>
  <sheetData>
    <row r="1" spans="1:15" x14ac:dyDescent="0.25">
      <c r="C1" s="18" t="s">
        <v>38</v>
      </c>
      <c r="D1" s="19"/>
      <c r="E1" s="19"/>
      <c r="F1" s="19"/>
      <c r="G1" s="18"/>
      <c r="H1" s="16" t="s">
        <v>42</v>
      </c>
      <c r="I1" s="57"/>
      <c r="J1" s="57"/>
      <c r="K1" s="34" t="s">
        <v>41</v>
      </c>
      <c r="L1" s="20" t="s">
        <v>39</v>
      </c>
      <c r="M1" s="20"/>
      <c r="N1" s="17" t="s">
        <v>40</v>
      </c>
    </row>
    <row r="2" spans="1:15" ht="30" customHeight="1" x14ac:dyDescent="0.25">
      <c r="A2" s="11" t="s">
        <v>0</v>
      </c>
      <c r="B2" s="11" t="s">
        <v>1</v>
      </c>
      <c r="C2" s="13" t="s">
        <v>2</v>
      </c>
      <c r="D2" s="13" t="s">
        <v>3</v>
      </c>
      <c r="E2" s="13" t="s">
        <v>129</v>
      </c>
      <c r="F2" s="13" t="s">
        <v>4</v>
      </c>
      <c r="G2" s="13" t="s">
        <v>11</v>
      </c>
      <c r="H2" s="11" t="s">
        <v>45</v>
      </c>
      <c r="I2" s="13" t="s">
        <v>159</v>
      </c>
      <c r="J2" s="13" t="s">
        <v>160</v>
      </c>
      <c r="K2" s="13" t="s">
        <v>164</v>
      </c>
      <c r="L2" s="13" t="s">
        <v>12</v>
      </c>
      <c r="M2" s="13" t="s">
        <v>37</v>
      </c>
      <c r="N2" s="13" t="s">
        <v>185</v>
      </c>
      <c r="O2" s="13" t="s">
        <v>186</v>
      </c>
    </row>
    <row r="3" spans="1:15" ht="15" customHeight="1" x14ac:dyDescent="0.25">
      <c r="A3" s="83" t="s">
        <v>213</v>
      </c>
      <c r="B3" s="70" t="s">
        <v>205</v>
      </c>
      <c r="C3" s="50"/>
      <c r="D3" s="51"/>
      <c r="E3" s="50"/>
      <c r="F3" s="52"/>
      <c r="G3" s="50"/>
      <c r="H3" s="54"/>
      <c r="I3" s="53"/>
      <c r="J3" s="53"/>
      <c r="K3" s="59"/>
      <c r="L3" s="55">
        <v>3</v>
      </c>
      <c r="M3" s="55"/>
      <c r="N3" s="86">
        <v>1</v>
      </c>
      <c r="O3" s="88">
        <v>0</v>
      </c>
    </row>
    <row r="4" spans="1:15" x14ac:dyDescent="0.25">
      <c r="A4" s="85" t="s">
        <v>213</v>
      </c>
      <c r="B4" s="70" t="s">
        <v>214</v>
      </c>
      <c r="C4" s="50"/>
      <c r="D4" s="51"/>
      <c r="E4" s="50"/>
      <c r="F4" s="52"/>
      <c r="G4" s="50"/>
      <c r="H4" s="54"/>
      <c r="I4" s="53"/>
      <c r="J4" s="53"/>
      <c r="K4" s="59"/>
      <c r="L4" s="55">
        <v>4</v>
      </c>
      <c r="M4" s="55"/>
      <c r="N4" s="86">
        <v>1</v>
      </c>
      <c r="O4" s="88">
        <v>0</v>
      </c>
    </row>
    <row r="5" spans="1:15" x14ac:dyDescent="0.25">
      <c r="A5" s="85" t="s">
        <v>213</v>
      </c>
      <c r="B5" s="70" t="s">
        <v>221</v>
      </c>
      <c r="C5" s="50"/>
      <c r="D5" s="51"/>
      <c r="E5" s="50"/>
      <c r="F5" s="52"/>
      <c r="G5" s="50"/>
      <c r="H5" s="54"/>
      <c r="I5" s="53"/>
      <c r="J5" s="53"/>
      <c r="K5" s="59"/>
      <c r="L5" s="55">
        <v>5</v>
      </c>
      <c r="M5" s="55"/>
      <c r="N5" s="86">
        <v>1</v>
      </c>
      <c r="O5" s="88">
        <v>0</v>
      </c>
    </row>
    <row r="6" spans="1:15" x14ac:dyDescent="0.25">
      <c r="A6" s="85" t="s">
        <v>213</v>
      </c>
      <c r="B6" s="70" t="s">
        <v>229</v>
      </c>
      <c r="C6" s="50"/>
      <c r="D6" s="51"/>
      <c r="E6" s="50"/>
      <c r="F6" s="52"/>
      <c r="G6" s="50"/>
      <c r="H6" s="54"/>
      <c r="I6" s="53"/>
      <c r="J6" s="53"/>
      <c r="K6" s="59"/>
      <c r="L6" s="55">
        <v>6</v>
      </c>
      <c r="M6" s="55"/>
      <c r="N6" s="86">
        <v>1</v>
      </c>
      <c r="O6" s="88">
        <v>0</v>
      </c>
    </row>
    <row r="7" spans="1:15" x14ac:dyDescent="0.25">
      <c r="A7" s="85" t="s">
        <v>213</v>
      </c>
      <c r="B7" s="70" t="s">
        <v>219</v>
      </c>
      <c r="C7" s="50"/>
      <c r="D7" s="51"/>
      <c r="E7" s="50"/>
      <c r="F7" s="52"/>
      <c r="G7" s="50"/>
      <c r="H7" s="54"/>
      <c r="I7" s="53"/>
      <c r="J7" s="53"/>
      <c r="K7" s="59"/>
      <c r="L7" s="55">
        <v>7</v>
      </c>
      <c r="M7" s="55"/>
      <c r="N7" s="86">
        <v>1</v>
      </c>
      <c r="O7" s="88">
        <v>0</v>
      </c>
    </row>
    <row r="8" spans="1:15" x14ac:dyDescent="0.25">
      <c r="A8" s="85" t="s">
        <v>213</v>
      </c>
      <c r="B8" s="70" t="s">
        <v>188</v>
      </c>
      <c r="C8" s="50"/>
      <c r="D8" s="51"/>
      <c r="E8" s="50"/>
      <c r="F8" s="52"/>
      <c r="G8" s="50"/>
      <c r="H8" s="54"/>
      <c r="I8" s="53"/>
      <c r="J8" s="53"/>
      <c r="K8" s="59"/>
      <c r="L8" s="55">
        <v>8</v>
      </c>
      <c r="M8" s="55"/>
      <c r="N8" s="86">
        <v>1</v>
      </c>
      <c r="O8" s="88">
        <v>0</v>
      </c>
    </row>
    <row r="9" spans="1:15" x14ac:dyDescent="0.25">
      <c r="A9" s="85" t="s">
        <v>208</v>
      </c>
      <c r="B9" s="70" t="s">
        <v>191</v>
      </c>
      <c r="C9" s="50"/>
      <c r="D9" s="51"/>
      <c r="E9" s="50"/>
      <c r="F9" s="52"/>
      <c r="G9" s="50"/>
      <c r="H9" s="54"/>
      <c r="I9" s="53"/>
      <c r="J9" s="53"/>
      <c r="K9" s="59"/>
      <c r="L9" s="55">
        <v>9</v>
      </c>
      <c r="M9" s="55"/>
      <c r="N9" s="86">
        <v>1</v>
      </c>
      <c r="O9" s="88">
        <v>0</v>
      </c>
    </row>
    <row r="10" spans="1:15" x14ac:dyDescent="0.25">
      <c r="A10" s="85" t="s">
        <v>208</v>
      </c>
      <c r="B10" s="70" t="s">
        <v>192</v>
      </c>
      <c r="C10" s="50"/>
      <c r="D10" s="51"/>
      <c r="E10" s="50"/>
      <c r="F10" s="52"/>
      <c r="G10" s="50"/>
      <c r="H10" s="54"/>
      <c r="I10" s="53"/>
      <c r="J10" s="53"/>
      <c r="K10" s="59"/>
      <c r="L10" s="55">
        <v>10</v>
      </c>
      <c r="M10" s="55"/>
      <c r="N10" s="86">
        <v>1</v>
      </c>
      <c r="O10" s="85">
        <v>1</v>
      </c>
    </row>
    <row r="11" spans="1:15" x14ac:dyDescent="0.25">
      <c r="A11" s="85" t="s">
        <v>208</v>
      </c>
      <c r="B11" s="70" t="s">
        <v>231</v>
      </c>
      <c r="C11" s="50"/>
      <c r="D11" s="51"/>
      <c r="E11" s="50"/>
      <c r="F11" s="52"/>
      <c r="G11" s="50"/>
      <c r="H11" s="54"/>
      <c r="I11" s="53"/>
      <c r="J11" s="53"/>
      <c r="K11" s="59"/>
      <c r="L11" s="55">
        <v>11</v>
      </c>
      <c r="M11" s="55"/>
      <c r="N11" s="86">
        <v>1</v>
      </c>
      <c r="O11" s="88">
        <v>0</v>
      </c>
    </row>
    <row r="12" spans="1:15" x14ac:dyDescent="0.25">
      <c r="A12" s="85" t="s">
        <v>208</v>
      </c>
      <c r="B12" s="70" t="s">
        <v>232</v>
      </c>
      <c r="C12" s="50"/>
      <c r="D12" s="51"/>
      <c r="E12" s="50"/>
      <c r="F12" s="52"/>
      <c r="G12" s="50"/>
      <c r="H12" s="54"/>
      <c r="I12" s="53"/>
      <c r="J12" s="53"/>
      <c r="K12" s="59"/>
      <c r="L12" s="55">
        <v>12</v>
      </c>
      <c r="M12" s="55"/>
      <c r="N12" s="86">
        <v>1</v>
      </c>
      <c r="O12" s="85">
        <v>1</v>
      </c>
    </row>
    <row r="13" spans="1:15" x14ac:dyDescent="0.25">
      <c r="A13" s="85" t="s">
        <v>208</v>
      </c>
      <c r="B13" s="70" t="s">
        <v>195</v>
      </c>
      <c r="C13" s="50"/>
      <c r="D13" s="51"/>
      <c r="E13" s="50"/>
      <c r="F13" s="52"/>
      <c r="G13" s="50"/>
      <c r="H13" s="54"/>
      <c r="I13" s="53"/>
      <c r="J13" s="53"/>
      <c r="K13" s="59"/>
      <c r="L13" s="55">
        <v>13</v>
      </c>
      <c r="M13" s="55"/>
      <c r="N13" s="86">
        <v>1</v>
      </c>
      <c r="O13" s="88">
        <v>0</v>
      </c>
    </row>
    <row r="14" spans="1:15" x14ac:dyDescent="0.25">
      <c r="A14" s="85" t="s">
        <v>208</v>
      </c>
      <c r="B14" s="70" t="s">
        <v>196</v>
      </c>
      <c r="C14" s="50"/>
      <c r="D14" s="51"/>
      <c r="E14" s="50"/>
      <c r="F14" s="52"/>
      <c r="G14" s="50"/>
      <c r="H14" s="54"/>
      <c r="I14" s="53"/>
      <c r="J14" s="53"/>
      <c r="K14" s="59"/>
      <c r="L14" s="55">
        <v>14</v>
      </c>
      <c r="M14" s="55"/>
      <c r="N14" s="86">
        <v>1</v>
      </c>
      <c r="O14" s="85">
        <v>1</v>
      </c>
    </row>
    <row r="15" spans="1:15" x14ac:dyDescent="0.25">
      <c r="A15" s="85" t="s">
        <v>208</v>
      </c>
      <c r="B15" s="70" t="s">
        <v>215</v>
      </c>
      <c r="C15" s="50"/>
      <c r="D15" s="51"/>
      <c r="E15" s="50"/>
      <c r="F15" s="52"/>
      <c r="G15" s="50"/>
      <c r="H15" s="54"/>
      <c r="I15" s="53"/>
      <c r="J15" s="53"/>
      <c r="K15" s="59"/>
      <c r="L15" s="55">
        <v>15</v>
      </c>
      <c r="M15" s="55"/>
      <c r="N15" s="86">
        <v>1</v>
      </c>
      <c r="O15" s="85">
        <v>1</v>
      </c>
    </row>
    <row r="16" spans="1:15" x14ac:dyDescent="0.25">
      <c r="A16" s="85" t="s">
        <v>205</v>
      </c>
      <c r="B16" s="70" t="s">
        <v>208</v>
      </c>
      <c r="C16" s="50"/>
      <c r="D16" s="51"/>
      <c r="E16" s="50"/>
      <c r="F16" s="52"/>
      <c r="G16" s="50"/>
      <c r="H16" s="54"/>
      <c r="I16" s="53"/>
      <c r="J16" s="53"/>
      <c r="K16" s="59"/>
      <c r="L16" s="55">
        <v>16</v>
      </c>
      <c r="M16" s="55"/>
      <c r="N16" s="86">
        <v>1</v>
      </c>
      <c r="O16" s="88">
        <v>0</v>
      </c>
    </row>
    <row r="17" spans="1:15" x14ac:dyDescent="0.25">
      <c r="A17" s="85" t="s">
        <v>205</v>
      </c>
      <c r="B17" s="70" t="s">
        <v>201</v>
      </c>
      <c r="C17" s="50"/>
      <c r="D17" s="51"/>
      <c r="E17" s="50"/>
      <c r="F17" s="52"/>
      <c r="G17" s="50"/>
      <c r="H17" s="54"/>
      <c r="I17" s="53"/>
      <c r="J17" s="53"/>
      <c r="K17" s="59"/>
      <c r="L17" s="55">
        <v>17</v>
      </c>
      <c r="M17" s="55"/>
      <c r="N17" s="86">
        <v>1</v>
      </c>
      <c r="O17" s="88">
        <v>0</v>
      </c>
    </row>
    <row r="18" spans="1:15" x14ac:dyDescent="0.25">
      <c r="A18" s="85" t="s">
        <v>205</v>
      </c>
      <c r="B18" s="70" t="s">
        <v>212</v>
      </c>
      <c r="C18" s="50"/>
      <c r="D18" s="51"/>
      <c r="E18" s="50"/>
      <c r="F18" s="52"/>
      <c r="G18" s="50"/>
      <c r="H18" s="54"/>
      <c r="I18" s="53"/>
      <c r="J18" s="53"/>
      <c r="K18" s="59"/>
      <c r="L18" s="55">
        <v>18</v>
      </c>
      <c r="M18" s="55"/>
      <c r="N18" s="86">
        <v>1</v>
      </c>
      <c r="O18" s="88">
        <v>0</v>
      </c>
    </row>
    <row r="19" spans="1:15" x14ac:dyDescent="0.25">
      <c r="A19" s="85" t="s">
        <v>205</v>
      </c>
      <c r="B19" s="70" t="s">
        <v>204</v>
      </c>
      <c r="C19" s="50"/>
      <c r="D19" s="51"/>
      <c r="E19" s="50"/>
      <c r="F19" s="52"/>
      <c r="G19" s="50"/>
      <c r="H19" s="54"/>
      <c r="I19" s="53"/>
      <c r="J19" s="53"/>
      <c r="K19" s="59"/>
      <c r="L19" s="55">
        <v>19</v>
      </c>
      <c r="M19" s="55"/>
      <c r="N19" s="86">
        <v>1</v>
      </c>
      <c r="O19" s="85">
        <v>1</v>
      </c>
    </row>
    <row r="20" spans="1:15" x14ac:dyDescent="0.25">
      <c r="A20" s="85" t="s">
        <v>205</v>
      </c>
      <c r="B20" s="70" t="s">
        <v>203</v>
      </c>
      <c r="C20" s="50"/>
      <c r="D20" s="51"/>
      <c r="E20" s="50"/>
      <c r="F20" s="52"/>
      <c r="G20" s="50"/>
      <c r="H20" s="54"/>
      <c r="I20" s="53"/>
      <c r="J20" s="53"/>
      <c r="K20" s="59"/>
      <c r="L20" s="55">
        <v>20</v>
      </c>
      <c r="M20" s="55"/>
      <c r="N20" s="86">
        <v>1</v>
      </c>
      <c r="O20" s="85">
        <v>1</v>
      </c>
    </row>
    <row r="21" spans="1:15" x14ac:dyDescent="0.25">
      <c r="A21" s="85" t="s">
        <v>205</v>
      </c>
      <c r="B21" s="70" t="s">
        <v>202</v>
      </c>
      <c r="C21" s="50"/>
      <c r="D21" s="51"/>
      <c r="E21" s="50"/>
      <c r="F21" s="52"/>
      <c r="G21" s="50"/>
      <c r="H21" s="54"/>
      <c r="I21" s="53"/>
      <c r="J21" s="53"/>
      <c r="K21" s="59"/>
      <c r="L21" s="55">
        <v>21</v>
      </c>
      <c r="M21" s="55"/>
      <c r="N21" s="86">
        <v>1</v>
      </c>
      <c r="O21" s="88">
        <v>0</v>
      </c>
    </row>
    <row r="22" spans="1:15" x14ac:dyDescent="0.25">
      <c r="A22" s="85" t="s">
        <v>205</v>
      </c>
      <c r="B22" s="70" t="s">
        <v>219</v>
      </c>
      <c r="C22" s="50"/>
      <c r="D22" s="51"/>
      <c r="E22" s="50"/>
      <c r="F22" s="52"/>
      <c r="G22" s="50"/>
      <c r="H22" s="54"/>
      <c r="I22" s="53"/>
      <c r="J22" s="53"/>
      <c r="K22" s="59"/>
      <c r="L22" s="55">
        <v>22</v>
      </c>
      <c r="M22" s="55"/>
      <c r="N22" s="86">
        <v>1</v>
      </c>
      <c r="O22" s="88">
        <v>0</v>
      </c>
    </row>
    <row r="23" spans="1:15" x14ac:dyDescent="0.25">
      <c r="A23" s="85" t="s">
        <v>205</v>
      </c>
      <c r="B23" s="70" t="s">
        <v>211</v>
      </c>
      <c r="C23" s="50"/>
      <c r="D23" s="51"/>
      <c r="E23" s="50"/>
      <c r="F23" s="52"/>
      <c r="G23" s="50"/>
      <c r="H23" s="54"/>
      <c r="I23" s="53"/>
      <c r="J23" s="53"/>
      <c r="K23" s="59"/>
      <c r="L23" s="55">
        <v>23</v>
      </c>
      <c r="M23" s="55"/>
      <c r="N23" s="86">
        <v>1</v>
      </c>
      <c r="O23" s="88">
        <v>0</v>
      </c>
    </row>
    <row r="24" spans="1:15" x14ac:dyDescent="0.25">
      <c r="A24" s="85" t="s">
        <v>205</v>
      </c>
      <c r="B24" s="70" t="s">
        <v>207</v>
      </c>
      <c r="C24" s="50"/>
      <c r="D24" s="51"/>
      <c r="E24" s="50"/>
      <c r="F24" s="52"/>
      <c r="G24" s="50"/>
      <c r="H24" s="54"/>
      <c r="I24" s="53"/>
      <c r="J24" s="53"/>
      <c r="K24" s="59"/>
      <c r="L24" s="55">
        <v>24</v>
      </c>
      <c r="M24" s="55"/>
      <c r="N24" s="86">
        <v>1</v>
      </c>
      <c r="O24" s="85">
        <v>1</v>
      </c>
    </row>
    <row r="25" spans="1:15" x14ac:dyDescent="0.25">
      <c r="A25" s="85" t="s">
        <v>205</v>
      </c>
      <c r="B25" s="70" t="s">
        <v>209</v>
      </c>
      <c r="C25" s="50"/>
      <c r="D25" s="51"/>
      <c r="E25" s="50"/>
      <c r="F25" s="52"/>
      <c r="G25" s="50"/>
      <c r="H25" s="54"/>
      <c r="I25" s="53"/>
      <c r="J25" s="53"/>
      <c r="K25" s="59"/>
      <c r="L25" s="55">
        <v>25</v>
      </c>
      <c r="M25" s="55"/>
      <c r="N25" s="86">
        <v>1</v>
      </c>
      <c r="O25" s="88">
        <v>0</v>
      </c>
    </row>
    <row r="26" spans="1:15" x14ac:dyDescent="0.25">
      <c r="A26" s="85" t="s">
        <v>218</v>
      </c>
      <c r="B26" s="70" t="s">
        <v>216</v>
      </c>
      <c r="C26" s="50"/>
      <c r="D26" s="51"/>
      <c r="E26" s="50"/>
      <c r="F26" s="52"/>
      <c r="G26" s="50"/>
      <c r="H26" s="54"/>
      <c r="I26" s="53"/>
      <c r="J26" s="53"/>
      <c r="K26" s="59"/>
      <c r="L26" s="55">
        <v>26</v>
      </c>
      <c r="M26" s="55"/>
      <c r="N26" s="86">
        <v>1</v>
      </c>
      <c r="O26" s="88">
        <v>0</v>
      </c>
    </row>
    <row r="27" spans="1:15" x14ac:dyDescent="0.25">
      <c r="A27" s="85" t="s">
        <v>218</v>
      </c>
      <c r="B27" s="70" t="s">
        <v>194</v>
      </c>
      <c r="C27" s="50"/>
      <c r="D27" s="51"/>
      <c r="E27" s="50"/>
      <c r="F27" s="52"/>
      <c r="G27" s="50"/>
      <c r="H27" s="54"/>
      <c r="I27" s="53"/>
      <c r="J27" s="53"/>
      <c r="K27" s="59"/>
      <c r="L27" s="55">
        <v>27</v>
      </c>
      <c r="M27" s="55"/>
      <c r="N27" s="86">
        <v>1</v>
      </c>
      <c r="O27" s="85">
        <v>1</v>
      </c>
    </row>
    <row r="28" spans="1:15" x14ac:dyDescent="0.25">
      <c r="A28" s="85" t="s">
        <v>218</v>
      </c>
      <c r="B28" s="70" t="s">
        <v>198</v>
      </c>
      <c r="C28" s="50"/>
      <c r="D28" s="51"/>
      <c r="E28" s="50"/>
      <c r="F28" s="52"/>
      <c r="G28" s="50"/>
      <c r="H28" s="54"/>
      <c r="I28" s="53"/>
      <c r="J28" s="53"/>
      <c r="K28" s="59"/>
      <c r="L28" s="55">
        <v>28</v>
      </c>
      <c r="M28" s="55"/>
      <c r="N28" s="86">
        <v>1</v>
      </c>
      <c r="O28" s="88">
        <v>0</v>
      </c>
    </row>
    <row r="29" spans="1:15" x14ac:dyDescent="0.25">
      <c r="A29" s="85" t="s">
        <v>201</v>
      </c>
      <c r="B29" s="70" t="s">
        <v>204</v>
      </c>
      <c r="C29" s="50"/>
      <c r="D29" s="51"/>
      <c r="E29" s="50"/>
      <c r="F29" s="52"/>
      <c r="G29" s="50"/>
      <c r="H29" s="54"/>
      <c r="I29" s="53"/>
      <c r="J29" s="53"/>
      <c r="K29" s="59"/>
      <c r="L29" s="55">
        <v>29</v>
      </c>
      <c r="M29" s="55"/>
      <c r="N29" s="86">
        <v>1</v>
      </c>
      <c r="O29" s="88">
        <v>0</v>
      </c>
    </row>
    <row r="30" spans="1:15" x14ac:dyDescent="0.25">
      <c r="A30" s="85" t="s">
        <v>201</v>
      </c>
      <c r="B30" s="70" t="s">
        <v>202</v>
      </c>
      <c r="C30" s="50"/>
      <c r="D30" s="51"/>
      <c r="E30" s="50"/>
      <c r="F30" s="52"/>
      <c r="G30" s="50"/>
      <c r="H30" s="54"/>
      <c r="I30" s="53"/>
      <c r="J30" s="53"/>
      <c r="K30" s="59"/>
      <c r="L30" s="55">
        <v>30</v>
      </c>
      <c r="M30" s="55"/>
      <c r="N30" s="86">
        <v>1</v>
      </c>
      <c r="O30" s="88">
        <v>0</v>
      </c>
    </row>
    <row r="31" spans="1:15" x14ac:dyDescent="0.25">
      <c r="A31" s="85" t="s">
        <v>201</v>
      </c>
      <c r="B31" s="70" t="s">
        <v>210</v>
      </c>
      <c r="C31" s="50"/>
      <c r="D31" s="51"/>
      <c r="E31" s="50"/>
      <c r="F31" s="52"/>
      <c r="G31" s="50"/>
      <c r="H31" s="54"/>
      <c r="I31" s="53"/>
      <c r="J31" s="53"/>
      <c r="K31" s="59"/>
      <c r="L31" s="55">
        <v>31</v>
      </c>
      <c r="M31" s="55"/>
      <c r="N31" s="86">
        <v>1</v>
      </c>
      <c r="O31" s="88">
        <v>0</v>
      </c>
    </row>
    <row r="32" spans="1:15" x14ac:dyDescent="0.25">
      <c r="A32" s="85" t="s">
        <v>201</v>
      </c>
      <c r="B32" s="70" t="s">
        <v>206</v>
      </c>
      <c r="C32" s="50"/>
      <c r="D32" s="51"/>
      <c r="E32" s="50"/>
      <c r="F32" s="52"/>
      <c r="G32" s="50"/>
      <c r="H32" s="54"/>
      <c r="I32" s="53"/>
      <c r="J32" s="53"/>
      <c r="K32" s="59"/>
      <c r="L32" s="55">
        <v>32</v>
      </c>
      <c r="M32" s="55"/>
      <c r="N32" s="86">
        <v>1</v>
      </c>
      <c r="O32" s="88">
        <v>0</v>
      </c>
    </row>
    <row r="33" spans="1:15" x14ac:dyDescent="0.25">
      <c r="A33" s="85" t="s">
        <v>201</v>
      </c>
      <c r="B33" s="70" t="s">
        <v>211</v>
      </c>
      <c r="C33" s="50"/>
      <c r="D33" s="51"/>
      <c r="E33" s="50"/>
      <c r="F33" s="52"/>
      <c r="G33" s="50"/>
      <c r="H33" s="54"/>
      <c r="I33" s="53"/>
      <c r="J33" s="53"/>
      <c r="K33" s="59"/>
      <c r="L33" s="55">
        <v>33</v>
      </c>
      <c r="M33" s="55"/>
      <c r="N33" s="86">
        <v>1</v>
      </c>
      <c r="O33" s="88">
        <v>0</v>
      </c>
    </row>
    <row r="34" spans="1:15" x14ac:dyDescent="0.25">
      <c r="A34" s="85" t="s">
        <v>201</v>
      </c>
      <c r="B34" s="70" t="s">
        <v>207</v>
      </c>
      <c r="C34" s="50"/>
      <c r="D34" s="51"/>
      <c r="E34" s="50"/>
      <c r="F34" s="52"/>
      <c r="G34" s="50"/>
      <c r="H34" s="54"/>
      <c r="I34" s="53"/>
      <c r="J34" s="53"/>
      <c r="K34" s="59"/>
      <c r="L34" s="55">
        <v>34</v>
      </c>
      <c r="M34" s="55"/>
      <c r="N34" s="86">
        <v>1</v>
      </c>
      <c r="O34" s="88">
        <v>0</v>
      </c>
    </row>
    <row r="35" spans="1:15" x14ac:dyDescent="0.25">
      <c r="A35" s="85" t="s">
        <v>201</v>
      </c>
      <c r="B35" s="70" t="s">
        <v>200</v>
      </c>
      <c r="C35" s="50"/>
      <c r="D35" s="51"/>
      <c r="E35" s="50"/>
      <c r="F35" s="52"/>
      <c r="G35" s="50"/>
      <c r="H35" s="54"/>
      <c r="I35" s="53"/>
      <c r="J35" s="53"/>
      <c r="K35" s="59"/>
      <c r="L35" s="55">
        <v>35</v>
      </c>
      <c r="M35" s="55"/>
      <c r="N35" s="86">
        <v>1</v>
      </c>
      <c r="O35" s="88">
        <v>0</v>
      </c>
    </row>
    <row r="36" spans="1:15" x14ac:dyDescent="0.25">
      <c r="A36" s="85" t="s">
        <v>201</v>
      </c>
      <c r="B36" s="70" t="s">
        <v>209</v>
      </c>
      <c r="C36" s="50"/>
      <c r="D36" s="51"/>
      <c r="E36" s="50"/>
      <c r="F36" s="52"/>
      <c r="G36" s="50"/>
      <c r="H36" s="54"/>
      <c r="I36" s="53"/>
      <c r="J36" s="53"/>
      <c r="K36" s="59"/>
      <c r="L36" s="55">
        <v>36</v>
      </c>
      <c r="M36" s="55"/>
      <c r="N36" s="86">
        <v>1</v>
      </c>
      <c r="O36" s="88">
        <v>0</v>
      </c>
    </row>
    <row r="37" spans="1:15" x14ac:dyDescent="0.25">
      <c r="A37" s="85" t="s">
        <v>227</v>
      </c>
      <c r="B37" s="70" t="s">
        <v>228</v>
      </c>
      <c r="C37" s="50"/>
      <c r="D37" s="51"/>
      <c r="E37" s="50"/>
      <c r="F37" s="52"/>
      <c r="G37" s="50"/>
      <c r="H37" s="54"/>
      <c r="I37" s="53"/>
      <c r="J37" s="53"/>
      <c r="K37" s="59"/>
      <c r="L37" s="55">
        <v>37</v>
      </c>
      <c r="M37" s="55"/>
      <c r="N37" s="86">
        <v>1</v>
      </c>
      <c r="O37" s="88">
        <v>0</v>
      </c>
    </row>
    <row r="38" spans="1:15" x14ac:dyDescent="0.25">
      <c r="A38" s="85" t="s">
        <v>227</v>
      </c>
      <c r="B38" s="70" t="s">
        <v>196</v>
      </c>
      <c r="C38" s="50"/>
      <c r="D38" s="51"/>
      <c r="E38" s="50"/>
      <c r="F38" s="52"/>
      <c r="G38" s="50"/>
      <c r="H38" s="54"/>
      <c r="I38" s="53"/>
      <c r="J38" s="53"/>
      <c r="K38" s="59"/>
      <c r="L38" s="55">
        <v>38</v>
      </c>
      <c r="M38" s="55"/>
      <c r="N38" s="86">
        <v>1</v>
      </c>
      <c r="O38" s="88">
        <v>0</v>
      </c>
    </row>
    <row r="39" spans="1:15" x14ac:dyDescent="0.25">
      <c r="A39" s="85" t="s">
        <v>227</v>
      </c>
      <c r="B39" s="70" t="s">
        <v>189</v>
      </c>
      <c r="C39" s="50"/>
      <c r="D39" s="51"/>
      <c r="E39" s="50"/>
      <c r="F39" s="52"/>
      <c r="G39" s="50"/>
      <c r="H39" s="54"/>
      <c r="I39" s="53"/>
      <c r="J39" s="53"/>
      <c r="K39" s="59"/>
      <c r="L39" s="55">
        <v>39</v>
      </c>
      <c r="M39" s="55"/>
      <c r="N39" s="86">
        <v>1</v>
      </c>
      <c r="O39" s="88">
        <v>0</v>
      </c>
    </row>
    <row r="40" spans="1:15" x14ac:dyDescent="0.25">
      <c r="A40" s="85" t="s">
        <v>227</v>
      </c>
      <c r="B40" s="70" t="s">
        <v>211</v>
      </c>
      <c r="C40" s="50"/>
      <c r="D40" s="51"/>
      <c r="E40" s="50"/>
      <c r="F40" s="52"/>
      <c r="G40" s="50"/>
      <c r="H40" s="54"/>
      <c r="I40" s="53"/>
      <c r="J40" s="53"/>
      <c r="K40" s="59"/>
      <c r="L40" s="55">
        <v>40</v>
      </c>
      <c r="M40" s="55"/>
      <c r="N40" s="86">
        <v>1</v>
      </c>
      <c r="O40" s="88">
        <v>0</v>
      </c>
    </row>
    <row r="41" spans="1:15" x14ac:dyDescent="0.25">
      <c r="A41" s="85" t="s">
        <v>227</v>
      </c>
      <c r="B41" s="70" t="s">
        <v>194</v>
      </c>
      <c r="C41" s="50"/>
      <c r="D41" s="51"/>
      <c r="E41" s="50"/>
      <c r="F41" s="52"/>
      <c r="G41" s="50"/>
      <c r="H41" s="54"/>
      <c r="I41" s="53"/>
      <c r="J41" s="53"/>
      <c r="K41" s="59"/>
      <c r="L41" s="55">
        <v>41</v>
      </c>
      <c r="M41" s="55"/>
      <c r="N41" s="86">
        <v>1</v>
      </c>
      <c r="O41" s="88">
        <v>0</v>
      </c>
    </row>
    <row r="42" spans="1:15" x14ac:dyDescent="0.25">
      <c r="A42" s="85" t="s">
        <v>212</v>
      </c>
      <c r="B42" s="70" t="s">
        <v>202</v>
      </c>
      <c r="C42" s="50"/>
      <c r="D42" s="51"/>
      <c r="E42" s="50"/>
      <c r="F42" s="52"/>
      <c r="G42" s="50"/>
      <c r="H42" s="54"/>
      <c r="I42" s="53"/>
      <c r="J42" s="53"/>
      <c r="K42" s="59"/>
      <c r="L42" s="55">
        <v>42</v>
      </c>
      <c r="M42" s="55"/>
      <c r="N42" s="86">
        <v>1</v>
      </c>
      <c r="O42" s="88">
        <v>0</v>
      </c>
    </row>
    <row r="43" spans="1:15" x14ac:dyDescent="0.25">
      <c r="A43" s="85" t="s">
        <v>212</v>
      </c>
      <c r="B43" s="70" t="s">
        <v>192</v>
      </c>
      <c r="C43" s="50"/>
      <c r="D43" s="51"/>
      <c r="E43" s="50"/>
      <c r="F43" s="52"/>
      <c r="G43" s="50"/>
      <c r="H43" s="54"/>
      <c r="I43" s="53"/>
      <c r="J43" s="53"/>
      <c r="K43" s="59"/>
      <c r="L43" s="55">
        <v>43</v>
      </c>
      <c r="M43" s="55"/>
      <c r="N43" s="86">
        <v>1</v>
      </c>
      <c r="O43" s="84">
        <v>0</v>
      </c>
    </row>
    <row r="44" spans="1:15" x14ac:dyDescent="0.25">
      <c r="A44" s="85" t="s">
        <v>212</v>
      </c>
      <c r="B44" s="70" t="s">
        <v>206</v>
      </c>
      <c r="C44" s="50"/>
      <c r="D44" s="51"/>
      <c r="E44" s="50"/>
      <c r="F44" s="52"/>
      <c r="G44" s="50"/>
      <c r="H44" s="54"/>
      <c r="I44" s="53"/>
      <c r="J44" s="53"/>
      <c r="K44" s="59"/>
      <c r="L44" s="55">
        <v>44</v>
      </c>
      <c r="M44" s="55"/>
      <c r="N44" s="86">
        <v>1</v>
      </c>
      <c r="O44" s="84">
        <v>0</v>
      </c>
    </row>
    <row r="45" spans="1:15" x14ac:dyDescent="0.25">
      <c r="A45" s="85" t="s">
        <v>197</v>
      </c>
      <c r="B45" s="70" t="s">
        <v>218</v>
      </c>
      <c r="C45" s="50"/>
      <c r="D45" s="51"/>
      <c r="E45" s="50"/>
      <c r="F45" s="52"/>
      <c r="G45" s="50"/>
      <c r="H45" s="54"/>
      <c r="I45" s="53"/>
      <c r="J45" s="53"/>
      <c r="K45" s="59"/>
      <c r="L45" s="55">
        <v>45</v>
      </c>
      <c r="M45" s="55"/>
      <c r="N45" s="86">
        <v>1</v>
      </c>
      <c r="O45" s="84">
        <v>0</v>
      </c>
    </row>
    <row r="46" spans="1:15" x14ac:dyDescent="0.25">
      <c r="A46" s="85" t="s">
        <v>197</v>
      </c>
      <c r="B46" s="70" t="s">
        <v>191</v>
      </c>
      <c r="C46" s="50"/>
      <c r="D46" s="51"/>
      <c r="E46" s="50"/>
      <c r="F46" s="52"/>
      <c r="G46" s="50"/>
      <c r="H46" s="54"/>
      <c r="I46" s="53"/>
      <c r="J46" s="53"/>
      <c r="K46" s="59"/>
      <c r="L46" s="55">
        <v>46</v>
      </c>
      <c r="M46" s="55"/>
      <c r="N46" s="86">
        <v>1</v>
      </c>
      <c r="O46" s="84">
        <v>0</v>
      </c>
    </row>
    <row r="47" spans="1:15" x14ac:dyDescent="0.25">
      <c r="A47" s="85" t="s">
        <v>197</v>
      </c>
      <c r="B47" s="70" t="s">
        <v>192</v>
      </c>
      <c r="C47" s="50"/>
      <c r="D47" s="51"/>
      <c r="E47" s="50"/>
      <c r="F47" s="52"/>
      <c r="G47" s="50"/>
      <c r="H47" s="54"/>
      <c r="I47" s="53"/>
      <c r="J47" s="53"/>
      <c r="K47" s="59"/>
      <c r="L47" s="55">
        <v>47</v>
      </c>
      <c r="M47" s="55"/>
      <c r="N47" s="86">
        <v>1</v>
      </c>
      <c r="O47" s="84">
        <v>0</v>
      </c>
    </row>
    <row r="48" spans="1:15" x14ac:dyDescent="0.25">
      <c r="A48" s="85" t="s">
        <v>197</v>
      </c>
      <c r="B48" s="70" t="s">
        <v>199</v>
      </c>
      <c r="C48" s="50"/>
      <c r="D48" s="51"/>
      <c r="E48" s="50"/>
      <c r="F48" s="52"/>
      <c r="G48" s="50"/>
      <c r="H48" s="54"/>
      <c r="I48" s="53"/>
      <c r="J48" s="53"/>
      <c r="K48" s="59"/>
      <c r="L48" s="55">
        <v>48</v>
      </c>
      <c r="M48" s="55"/>
      <c r="N48" s="86">
        <v>1</v>
      </c>
      <c r="O48" s="84">
        <v>0</v>
      </c>
    </row>
    <row r="49" spans="1:15" x14ac:dyDescent="0.25">
      <c r="A49" s="85" t="s">
        <v>197</v>
      </c>
      <c r="B49" s="70" t="s">
        <v>228</v>
      </c>
      <c r="C49" s="50"/>
      <c r="D49" s="51"/>
      <c r="E49" s="50"/>
      <c r="F49" s="52"/>
      <c r="G49" s="50"/>
      <c r="H49" s="54"/>
      <c r="I49" s="53"/>
      <c r="J49" s="53"/>
      <c r="K49" s="59"/>
      <c r="L49" s="55">
        <v>49</v>
      </c>
      <c r="M49" s="55"/>
      <c r="N49" s="86">
        <v>1</v>
      </c>
      <c r="O49" s="84">
        <v>0</v>
      </c>
    </row>
    <row r="50" spans="1:15" x14ac:dyDescent="0.25">
      <c r="A50" s="85" t="s">
        <v>197</v>
      </c>
      <c r="B50" s="70" t="s">
        <v>226</v>
      </c>
      <c r="C50" s="50"/>
      <c r="D50" s="51"/>
      <c r="E50" s="50"/>
      <c r="F50" s="52"/>
      <c r="G50" s="50"/>
      <c r="H50" s="54"/>
      <c r="I50" s="53"/>
      <c r="J50" s="53"/>
      <c r="K50" s="59"/>
      <c r="L50" s="55">
        <v>50</v>
      </c>
      <c r="M50" s="55"/>
      <c r="N50" s="86">
        <v>1</v>
      </c>
      <c r="O50" s="84">
        <v>0</v>
      </c>
    </row>
    <row r="51" spans="1:15" x14ac:dyDescent="0.25">
      <c r="A51" s="85" t="s">
        <v>197</v>
      </c>
      <c r="B51" s="70" t="s">
        <v>198</v>
      </c>
      <c r="C51" s="50"/>
      <c r="D51" s="51"/>
      <c r="E51" s="50"/>
      <c r="F51" s="52"/>
      <c r="G51" s="50"/>
      <c r="H51" s="54"/>
      <c r="I51" s="53"/>
      <c r="J51" s="53"/>
      <c r="K51" s="59"/>
      <c r="L51" s="55">
        <v>51</v>
      </c>
      <c r="M51" s="55"/>
      <c r="N51" s="86">
        <v>1</v>
      </c>
      <c r="O51" s="84">
        <v>0</v>
      </c>
    </row>
    <row r="52" spans="1:15" x14ac:dyDescent="0.25">
      <c r="A52" s="85" t="s">
        <v>191</v>
      </c>
      <c r="B52" s="70" t="s">
        <v>208</v>
      </c>
      <c r="C52" s="50"/>
      <c r="D52" s="51"/>
      <c r="E52" s="50"/>
      <c r="F52" s="52"/>
      <c r="G52" s="50"/>
      <c r="H52" s="54"/>
      <c r="I52" s="53"/>
      <c r="J52" s="53"/>
      <c r="K52" s="59"/>
      <c r="L52" s="55">
        <v>52</v>
      </c>
      <c r="M52" s="55"/>
      <c r="N52" s="86">
        <v>1</v>
      </c>
      <c r="O52" s="84">
        <v>0</v>
      </c>
    </row>
    <row r="53" spans="1:15" x14ac:dyDescent="0.25">
      <c r="A53" s="85" t="s">
        <v>191</v>
      </c>
      <c r="B53" s="70" t="s">
        <v>218</v>
      </c>
      <c r="C53" s="50"/>
      <c r="D53" s="51"/>
      <c r="E53" s="50"/>
      <c r="F53" s="52"/>
      <c r="G53" s="50"/>
      <c r="H53" s="54"/>
      <c r="I53" s="53"/>
      <c r="J53" s="53"/>
      <c r="K53" s="59"/>
      <c r="L53" s="55">
        <v>53</v>
      </c>
      <c r="M53" s="55"/>
      <c r="N53" s="86">
        <v>1</v>
      </c>
      <c r="O53" s="84">
        <v>0</v>
      </c>
    </row>
    <row r="54" spans="1:15" x14ac:dyDescent="0.25">
      <c r="A54" s="85" t="s">
        <v>191</v>
      </c>
      <c r="B54" s="70" t="s">
        <v>197</v>
      </c>
      <c r="C54" s="50"/>
      <c r="D54" s="51"/>
      <c r="E54" s="50"/>
      <c r="F54" s="52"/>
      <c r="G54" s="50"/>
      <c r="H54" s="54"/>
      <c r="I54" s="53"/>
      <c r="J54" s="53"/>
      <c r="K54" s="59"/>
      <c r="L54" s="55">
        <v>54</v>
      </c>
      <c r="M54" s="55"/>
      <c r="N54" s="86">
        <v>1</v>
      </c>
      <c r="O54" s="84">
        <v>0</v>
      </c>
    </row>
    <row r="55" spans="1:15" x14ac:dyDescent="0.25">
      <c r="A55" s="85" t="s">
        <v>191</v>
      </c>
      <c r="B55" s="70" t="s">
        <v>192</v>
      </c>
      <c r="C55" s="50"/>
      <c r="D55" s="51"/>
      <c r="E55" s="50"/>
      <c r="F55" s="52"/>
      <c r="G55" s="50"/>
      <c r="H55" s="54"/>
      <c r="I55" s="53"/>
      <c r="J55" s="53"/>
      <c r="K55" s="59"/>
      <c r="L55" s="55">
        <v>55</v>
      </c>
      <c r="M55" s="55"/>
      <c r="N55" s="86">
        <v>1</v>
      </c>
      <c r="O55" s="84">
        <v>0</v>
      </c>
    </row>
    <row r="56" spans="1:15" x14ac:dyDescent="0.25">
      <c r="A56" s="85" t="s">
        <v>191</v>
      </c>
      <c r="B56" s="70" t="s">
        <v>199</v>
      </c>
      <c r="C56" s="50"/>
      <c r="D56" s="51"/>
      <c r="E56" s="50"/>
      <c r="F56" s="52"/>
      <c r="G56" s="50"/>
      <c r="H56" s="54"/>
      <c r="I56" s="53"/>
      <c r="J56" s="53"/>
      <c r="K56" s="59"/>
      <c r="L56" s="55">
        <v>56</v>
      </c>
      <c r="M56" s="55"/>
      <c r="N56" s="86">
        <v>1</v>
      </c>
      <c r="O56" s="89">
        <v>1</v>
      </c>
    </row>
    <row r="57" spans="1:15" x14ac:dyDescent="0.25">
      <c r="A57" s="85" t="s">
        <v>191</v>
      </c>
      <c r="B57" s="70" t="s">
        <v>195</v>
      </c>
      <c r="C57" s="50"/>
      <c r="D57" s="51"/>
      <c r="E57" s="50"/>
      <c r="F57" s="52"/>
      <c r="G57" s="50"/>
      <c r="H57" s="54"/>
      <c r="I57" s="53"/>
      <c r="J57" s="53"/>
      <c r="K57" s="59"/>
      <c r="L57" s="55">
        <v>57</v>
      </c>
      <c r="M57" s="55"/>
      <c r="N57" s="86">
        <v>1</v>
      </c>
      <c r="O57" s="84">
        <v>0</v>
      </c>
    </row>
    <row r="58" spans="1:15" x14ac:dyDescent="0.25">
      <c r="A58" s="85" t="s">
        <v>191</v>
      </c>
      <c r="B58" s="70" t="s">
        <v>196</v>
      </c>
      <c r="C58" s="50"/>
      <c r="D58" s="51"/>
      <c r="E58" s="50"/>
      <c r="F58" s="52"/>
      <c r="G58" s="50"/>
      <c r="H58" s="54"/>
      <c r="I58" s="53"/>
      <c r="J58" s="53"/>
      <c r="K58" s="59"/>
      <c r="L58" s="55">
        <v>58</v>
      </c>
      <c r="M58" s="55"/>
      <c r="N58" s="86">
        <v>1</v>
      </c>
      <c r="O58" s="89">
        <v>1</v>
      </c>
    </row>
    <row r="59" spans="1:15" x14ac:dyDescent="0.25">
      <c r="A59" s="85" t="s">
        <v>191</v>
      </c>
      <c r="B59" s="70" t="s">
        <v>215</v>
      </c>
      <c r="C59" s="50"/>
      <c r="D59" s="51"/>
      <c r="E59" s="50"/>
      <c r="F59" s="52"/>
      <c r="G59" s="50"/>
      <c r="H59" s="54"/>
      <c r="I59" s="53"/>
      <c r="J59" s="53"/>
      <c r="K59" s="59"/>
      <c r="L59" s="55">
        <v>59</v>
      </c>
      <c r="M59" s="55"/>
      <c r="N59" s="86">
        <v>1</v>
      </c>
      <c r="O59" s="84">
        <v>0</v>
      </c>
    </row>
    <row r="60" spans="1:15" x14ac:dyDescent="0.25">
      <c r="A60" s="85" t="s">
        <v>191</v>
      </c>
      <c r="B60" s="70" t="s">
        <v>193</v>
      </c>
      <c r="C60" s="50"/>
      <c r="D60" s="51"/>
      <c r="E60" s="50"/>
      <c r="F60" s="52"/>
      <c r="G60" s="50"/>
      <c r="H60" s="54"/>
      <c r="I60" s="53"/>
      <c r="J60" s="53"/>
      <c r="K60" s="59"/>
      <c r="L60" s="55">
        <v>60</v>
      </c>
      <c r="M60" s="55"/>
      <c r="N60" s="86">
        <v>1</v>
      </c>
      <c r="O60" s="89">
        <v>1</v>
      </c>
    </row>
    <row r="61" spans="1:15" x14ac:dyDescent="0.25">
      <c r="A61" s="85" t="s">
        <v>191</v>
      </c>
      <c r="B61" s="70" t="s">
        <v>194</v>
      </c>
      <c r="C61" s="50"/>
      <c r="D61" s="51"/>
      <c r="E61" s="50"/>
      <c r="F61" s="52"/>
      <c r="G61" s="50"/>
      <c r="H61" s="54"/>
      <c r="I61" s="53"/>
      <c r="J61" s="53"/>
      <c r="K61" s="59"/>
      <c r="L61" s="55">
        <v>61</v>
      </c>
      <c r="M61" s="55"/>
      <c r="N61" s="86">
        <v>1</v>
      </c>
      <c r="O61" s="84">
        <v>0</v>
      </c>
    </row>
    <row r="62" spans="1:15" x14ac:dyDescent="0.25">
      <c r="A62" s="85" t="s">
        <v>191</v>
      </c>
      <c r="B62" s="70" t="s">
        <v>198</v>
      </c>
      <c r="C62" s="50"/>
      <c r="D62" s="51"/>
      <c r="E62" s="50"/>
      <c r="F62" s="52"/>
      <c r="G62" s="50"/>
      <c r="H62" s="54"/>
      <c r="I62" s="53"/>
      <c r="J62" s="53"/>
      <c r="K62" s="59"/>
      <c r="L62" s="55">
        <v>62</v>
      </c>
      <c r="M62" s="55"/>
      <c r="N62" s="86">
        <v>1</v>
      </c>
      <c r="O62" s="89">
        <v>1</v>
      </c>
    </row>
    <row r="63" spans="1:15" x14ac:dyDescent="0.25">
      <c r="A63" s="85" t="s">
        <v>204</v>
      </c>
      <c r="B63" s="70" t="s">
        <v>208</v>
      </c>
      <c r="C63" s="50"/>
      <c r="D63" s="51"/>
      <c r="E63" s="50"/>
      <c r="F63" s="52"/>
      <c r="G63" s="50"/>
      <c r="H63" s="54"/>
      <c r="I63" s="53"/>
      <c r="J63" s="53"/>
      <c r="K63" s="59"/>
      <c r="L63" s="55">
        <v>63</v>
      </c>
      <c r="M63" s="55"/>
      <c r="N63" s="86">
        <v>1</v>
      </c>
      <c r="O63" s="84">
        <v>0</v>
      </c>
    </row>
    <row r="64" spans="1:15" x14ac:dyDescent="0.25">
      <c r="A64" s="85" t="s">
        <v>204</v>
      </c>
      <c r="B64" s="70" t="s">
        <v>205</v>
      </c>
      <c r="C64" s="50"/>
      <c r="D64" s="51"/>
      <c r="E64" s="50"/>
      <c r="F64" s="52"/>
      <c r="G64" s="50"/>
      <c r="H64" s="54"/>
      <c r="I64" s="53"/>
      <c r="J64" s="53"/>
      <c r="K64" s="59"/>
      <c r="L64" s="55">
        <v>64</v>
      </c>
      <c r="M64" s="55"/>
      <c r="N64" s="86">
        <v>1</v>
      </c>
      <c r="O64" s="89">
        <v>1</v>
      </c>
    </row>
    <row r="65" spans="1:15" x14ac:dyDescent="0.25">
      <c r="A65" s="85" t="s">
        <v>204</v>
      </c>
      <c r="B65" s="70" t="s">
        <v>201</v>
      </c>
      <c r="C65" s="50"/>
      <c r="D65" s="51"/>
      <c r="E65" s="50"/>
      <c r="F65" s="52"/>
      <c r="G65" s="50"/>
      <c r="H65" s="54"/>
      <c r="I65" s="53"/>
      <c r="J65" s="53"/>
      <c r="K65" s="59"/>
      <c r="L65" s="55">
        <v>65</v>
      </c>
      <c r="M65" s="55"/>
      <c r="N65" s="86">
        <v>1</v>
      </c>
      <c r="O65" s="84">
        <v>0</v>
      </c>
    </row>
    <row r="66" spans="1:15" x14ac:dyDescent="0.25">
      <c r="A66" s="85" t="s">
        <v>204</v>
      </c>
      <c r="B66" s="70" t="s">
        <v>190</v>
      </c>
      <c r="C66" s="50"/>
      <c r="D66" s="51"/>
      <c r="E66" s="50"/>
      <c r="F66" s="52"/>
      <c r="G66" s="50"/>
      <c r="H66" s="54"/>
      <c r="I66" s="53"/>
      <c r="J66" s="53"/>
      <c r="K66" s="59"/>
      <c r="L66" s="55">
        <v>66</v>
      </c>
      <c r="M66" s="55"/>
      <c r="N66" s="86">
        <v>1</v>
      </c>
      <c r="O66" s="84">
        <v>0</v>
      </c>
    </row>
    <row r="67" spans="1:15" x14ac:dyDescent="0.25">
      <c r="A67" s="85" t="s">
        <v>204</v>
      </c>
      <c r="B67" s="70" t="s">
        <v>203</v>
      </c>
      <c r="C67" s="50"/>
      <c r="D67" s="51"/>
      <c r="E67" s="50"/>
      <c r="F67" s="52"/>
      <c r="G67" s="50"/>
      <c r="H67" s="54"/>
      <c r="I67" s="53"/>
      <c r="J67" s="53"/>
      <c r="K67" s="59"/>
      <c r="L67" s="55">
        <v>67</v>
      </c>
      <c r="M67" s="55"/>
      <c r="N67" s="86">
        <v>1</v>
      </c>
      <c r="O67" s="89">
        <v>1</v>
      </c>
    </row>
    <row r="68" spans="1:15" x14ac:dyDescent="0.25">
      <c r="A68" s="85" t="s">
        <v>204</v>
      </c>
      <c r="B68" s="70" t="s">
        <v>202</v>
      </c>
      <c r="C68" s="50"/>
      <c r="D68" s="51"/>
      <c r="E68" s="50"/>
      <c r="F68" s="52"/>
      <c r="G68" s="50"/>
      <c r="H68" s="54"/>
      <c r="I68" s="53"/>
      <c r="J68" s="53"/>
      <c r="K68" s="59"/>
      <c r="L68" s="55">
        <v>68</v>
      </c>
      <c r="M68" s="55"/>
      <c r="N68" s="86">
        <v>1</v>
      </c>
      <c r="O68" s="84">
        <v>0</v>
      </c>
    </row>
    <row r="69" spans="1:15" x14ac:dyDescent="0.25">
      <c r="A69" s="85" t="s">
        <v>204</v>
      </c>
      <c r="B69" s="70" t="s">
        <v>221</v>
      </c>
      <c r="C69" s="50"/>
      <c r="D69" s="51"/>
      <c r="E69" s="50"/>
      <c r="F69" s="52"/>
      <c r="G69" s="50"/>
      <c r="H69" s="54"/>
      <c r="I69" s="53"/>
      <c r="J69" s="53"/>
      <c r="K69" s="59"/>
      <c r="L69" s="55">
        <v>69</v>
      </c>
      <c r="M69" s="55"/>
      <c r="N69" s="86">
        <v>1</v>
      </c>
      <c r="O69" s="84">
        <v>0</v>
      </c>
    </row>
    <row r="70" spans="1:15" x14ac:dyDescent="0.25">
      <c r="A70" s="85" t="s">
        <v>204</v>
      </c>
      <c r="B70" s="70" t="s">
        <v>223</v>
      </c>
      <c r="C70" s="50"/>
      <c r="D70" s="51"/>
      <c r="E70" s="50"/>
      <c r="F70" s="52"/>
      <c r="G70" s="50"/>
      <c r="H70" s="54"/>
      <c r="I70" s="53"/>
      <c r="J70" s="53"/>
      <c r="K70" s="59"/>
      <c r="L70" s="55">
        <v>70</v>
      </c>
      <c r="M70" s="55"/>
      <c r="N70" s="86">
        <v>1</v>
      </c>
      <c r="O70" s="84">
        <v>0</v>
      </c>
    </row>
    <row r="71" spans="1:15" x14ac:dyDescent="0.25">
      <c r="A71" s="85" t="s">
        <v>204</v>
      </c>
      <c r="B71" s="70" t="s">
        <v>222</v>
      </c>
      <c r="C71" s="50"/>
      <c r="D71" s="51"/>
      <c r="E71" s="50"/>
      <c r="F71" s="52"/>
      <c r="G71" s="50"/>
      <c r="H71" s="54"/>
      <c r="I71" s="53"/>
      <c r="J71" s="53"/>
      <c r="K71" s="59"/>
      <c r="L71" s="55">
        <v>71</v>
      </c>
      <c r="M71" s="55"/>
      <c r="N71" s="86">
        <v>1</v>
      </c>
      <c r="O71" s="84">
        <v>0</v>
      </c>
    </row>
    <row r="72" spans="1:15" x14ac:dyDescent="0.25">
      <c r="A72" s="85" t="s">
        <v>204</v>
      </c>
      <c r="B72" s="70" t="s">
        <v>199</v>
      </c>
      <c r="C72" s="50"/>
      <c r="D72" s="51"/>
      <c r="E72" s="50"/>
      <c r="F72" s="52"/>
      <c r="G72" s="50"/>
      <c r="H72" s="54"/>
      <c r="I72" s="53"/>
      <c r="J72" s="53"/>
      <c r="K72" s="59"/>
      <c r="L72" s="55">
        <v>72</v>
      </c>
      <c r="M72" s="55"/>
      <c r="N72" s="86">
        <v>1</v>
      </c>
      <c r="O72" s="84">
        <v>0</v>
      </c>
    </row>
    <row r="73" spans="1:15" x14ac:dyDescent="0.25">
      <c r="A73" s="85" t="s">
        <v>204</v>
      </c>
      <c r="B73" s="70" t="s">
        <v>206</v>
      </c>
      <c r="C73" s="50"/>
      <c r="D73" s="51"/>
      <c r="E73" s="50"/>
      <c r="F73" s="52"/>
      <c r="G73" s="50"/>
      <c r="H73" s="54"/>
      <c r="I73" s="53"/>
      <c r="J73" s="53"/>
      <c r="K73" s="59"/>
      <c r="L73" s="55">
        <v>73</v>
      </c>
      <c r="M73" s="55"/>
      <c r="N73" s="86">
        <v>1</v>
      </c>
      <c r="O73" s="84">
        <v>0</v>
      </c>
    </row>
    <row r="74" spans="1:15" x14ac:dyDescent="0.25">
      <c r="A74" s="85" t="s">
        <v>204</v>
      </c>
      <c r="B74" s="70" t="s">
        <v>219</v>
      </c>
      <c r="C74" s="50"/>
      <c r="D74" s="51"/>
      <c r="E74" s="50"/>
      <c r="F74" s="52"/>
      <c r="G74" s="50"/>
      <c r="H74" s="54"/>
      <c r="I74" s="53"/>
      <c r="J74" s="53"/>
      <c r="K74" s="59"/>
      <c r="L74" s="55">
        <v>74</v>
      </c>
      <c r="M74" s="55"/>
      <c r="N74" s="86">
        <v>1</v>
      </c>
      <c r="O74" s="84">
        <v>0</v>
      </c>
    </row>
    <row r="75" spans="1:15" x14ac:dyDescent="0.25">
      <c r="A75" s="85" t="s">
        <v>204</v>
      </c>
      <c r="B75" s="70" t="s">
        <v>215</v>
      </c>
      <c r="C75" s="50"/>
      <c r="D75" s="51"/>
      <c r="E75" s="50"/>
      <c r="F75" s="52"/>
      <c r="G75" s="50"/>
      <c r="H75" s="54"/>
      <c r="I75" s="53"/>
      <c r="J75" s="53"/>
      <c r="K75" s="59"/>
      <c r="L75" s="55">
        <v>75</v>
      </c>
      <c r="M75" s="55"/>
      <c r="N75" s="86">
        <v>1</v>
      </c>
      <c r="O75" s="84">
        <v>0</v>
      </c>
    </row>
    <row r="76" spans="1:15" x14ac:dyDescent="0.25">
      <c r="A76" s="85" t="s">
        <v>204</v>
      </c>
      <c r="B76" s="70" t="s">
        <v>189</v>
      </c>
      <c r="C76" s="50"/>
      <c r="D76" s="51"/>
      <c r="E76" s="50"/>
      <c r="F76" s="52"/>
      <c r="G76" s="50"/>
      <c r="H76" s="54"/>
      <c r="I76" s="53"/>
      <c r="J76" s="53"/>
      <c r="K76" s="59"/>
      <c r="L76" s="55">
        <v>76</v>
      </c>
      <c r="M76" s="55"/>
      <c r="N76" s="86">
        <v>1</v>
      </c>
      <c r="O76" s="84">
        <v>0</v>
      </c>
    </row>
    <row r="77" spans="1:15" x14ac:dyDescent="0.25">
      <c r="A77" s="85" t="s">
        <v>204</v>
      </c>
      <c r="B77" s="70" t="s">
        <v>224</v>
      </c>
      <c r="C77" s="50"/>
      <c r="D77" s="51"/>
      <c r="E77" s="50"/>
      <c r="F77" s="52"/>
      <c r="G77" s="50"/>
      <c r="H77" s="54"/>
      <c r="I77" s="53"/>
      <c r="J77" s="53"/>
      <c r="K77" s="59"/>
      <c r="L77" s="55">
        <v>77</v>
      </c>
      <c r="M77" s="55"/>
      <c r="N77" s="86">
        <v>1</v>
      </c>
      <c r="O77" s="84">
        <v>0</v>
      </c>
    </row>
    <row r="78" spans="1:15" x14ac:dyDescent="0.25">
      <c r="A78" s="85" t="s">
        <v>204</v>
      </c>
      <c r="B78" s="70" t="s">
        <v>207</v>
      </c>
      <c r="C78" s="50"/>
      <c r="D78" s="51"/>
      <c r="E78" s="50"/>
      <c r="F78" s="52"/>
      <c r="G78" s="50"/>
      <c r="H78" s="54"/>
      <c r="I78" s="53"/>
      <c r="J78" s="53"/>
      <c r="K78" s="59"/>
      <c r="L78" s="55">
        <v>78</v>
      </c>
      <c r="M78" s="55"/>
      <c r="N78" s="86">
        <v>1</v>
      </c>
      <c r="O78" s="89">
        <v>1</v>
      </c>
    </row>
    <row r="79" spans="1:15" x14ac:dyDescent="0.25">
      <c r="A79" s="85" t="s">
        <v>204</v>
      </c>
      <c r="B79" s="70" t="s">
        <v>220</v>
      </c>
      <c r="C79" s="50"/>
      <c r="D79" s="51"/>
      <c r="E79" s="50"/>
      <c r="F79" s="52"/>
      <c r="G79" s="50"/>
      <c r="H79" s="54"/>
      <c r="I79" s="53"/>
      <c r="J79" s="53"/>
      <c r="K79" s="59"/>
      <c r="L79" s="55">
        <v>79</v>
      </c>
      <c r="M79" s="55"/>
      <c r="N79" s="86">
        <v>1</v>
      </c>
      <c r="O79" s="84">
        <v>0</v>
      </c>
    </row>
    <row r="80" spans="1:15" x14ac:dyDescent="0.25">
      <c r="A80" s="85" t="s">
        <v>204</v>
      </c>
      <c r="B80" s="70" t="s">
        <v>200</v>
      </c>
      <c r="C80" s="50"/>
      <c r="D80" s="51"/>
      <c r="E80" s="50"/>
      <c r="F80" s="52"/>
      <c r="G80" s="50"/>
      <c r="H80" s="54"/>
      <c r="I80" s="53"/>
      <c r="J80" s="53"/>
      <c r="K80" s="59"/>
      <c r="L80" s="55">
        <v>80</v>
      </c>
      <c r="M80" s="55"/>
      <c r="N80" s="86">
        <v>1</v>
      </c>
      <c r="O80" s="89">
        <v>1</v>
      </c>
    </row>
    <row r="81" spans="1:15" x14ac:dyDescent="0.25">
      <c r="A81" s="85" t="s">
        <v>204</v>
      </c>
      <c r="B81" s="70" t="s">
        <v>209</v>
      </c>
      <c r="C81" s="50"/>
      <c r="D81" s="51"/>
      <c r="E81" s="50"/>
      <c r="F81" s="52"/>
      <c r="G81" s="50"/>
      <c r="H81" s="54"/>
      <c r="I81" s="53"/>
      <c r="J81" s="53"/>
      <c r="K81" s="59"/>
      <c r="L81" s="55">
        <v>81</v>
      </c>
      <c r="M81" s="55"/>
      <c r="N81" s="86">
        <v>1</v>
      </c>
      <c r="O81" s="84">
        <v>0</v>
      </c>
    </row>
    <row r="82" spans="1:15" x14ac:dyDescent="0.25">
      <c r="A82" s="85" t="s">
        <v>214</v>
      </c>
      <c r="B82" s="70" t="s">
        <v>213</v>
      </c>
      <c r="C82" s="50"/>
      <c r="D82" s="51"/>
      <c r="E82" s="50"/>
      <c r="F82" s="52"/>
      <c r="G82" s="50"/>
      <c r="H82" s="54"/>
      <c r="I82" s="53"/>
      <c r="J82" s="53"/>
      <c r="K82" s="59"/>
      <c r="L82" s="55">
        <v>82</v>
      </c>
      <c r="M82" s="55"/>
      <c r="N82" s="86">
        <v>1</v>
      </c>
      <c r="O82" s="84">
        <v>0</v>
      </c>
    </row>
    <row r="83" spans="1:15" x14ac:dyDescent="0.25">
      <c r="A83" s="85" t="s">
        <v>230</v>
      </c>
      <c r="B83" s="70" t="s">
        <v>208</v>
      </c>
      <c r="C83" s="50"/>
      <c r="D83" s="51"/>
      <c r="E83" s="50"/>
      <c r="F83" s="52"/>
      <c r="G83" s="50"/>
      <c r="H83" s="54"/>
      <c r="I83" s="53"/>
      <c r="J83" s="53"/>
      <c r="K83" s="59"/>
      <c r="L83" s="55">
        <v>83</v>
      </c>
      <c r="M83" s="55"/>
      <c r="N83" s="86">
        <v>1</v>
      </c>
      <c r="O83" s="84">
        <v>0</v>
      </c>
    </row>
    <row r="84" spans="1:15" x14ac:dyDescent="0.25">
      <c r="A84" s="85" t="s">
        <v>230</v>
      </c>
      <c r="B84" s="70" t="s">
        <v>201</v>
      </c>
      <c r="C84" s="50"/>
      <c r="D84" s="51"/>
      <c r="E84" s="50"/>
      <c r="F84" s="52"/>
      <c r="G84" s="50"/>
      <c r="H84" s="54"/>
      <c r="I84" s="53"/>
      <c r="J84" s="53"/>
      <c r="K84" s="59"/>
      <c r="L84" s="55">
        <v>84</v>
      </c>
      <c r="M84" s="55"/>
      <c r="N84" s="86">
        <v>1</v>
      </c>
      <c r="O84" s="84">
        <v>0</v>
      </c>
    </row>
    <row r="85" spans="1:15" x14ac:dyDescent="0.25">
      <c r="A85" s="85" t="s">
        <v>230</v>
      </c>
      <c r="B85" s="70" t="s">
        <v>214</v>
      </c>
      <c r="C85" s="50"/>
      <c r="D85" s="51"/>
      <c r="E85" s="50"/>
      <c r="F85" s="52"/>
      <c r="G85" s="50"/>
      <c r="H85" s="54"/>
      <c r="I85" s="53"/>
      <c r="J85" s="53"/>
      <c r="K85" s="59"/>
      <c r="L85" s="55">
        <v>85</v>
      </c>
      <c r="M85" s="55"/>
      <c r="N85" s="86">
        <v>1</v>
      </c>
      <c r="O85" s="84">
        <v>0</v>
      </c>
    </row>
    <row r="86" spans="1:15" x14ac:dyDescent="0.25">
      <c r="A86" s="85" t="s">
        <v>230</v>
      </c>
      <c r="B86" s="70" t="s">
        <v>203</v>
      </c>
      <c r="C86" s="50"/>
      <c r="D86" s="51"/>
      <c r="E86" s="50"/>
      <c r="F86" s="52"/>
      <c r="G86" s="50"/>
      <c r="H86" s="54"/>
      <c r="I86" s="53"/>
      <c r="J86" s="53"/>
      <c r="K86" s="59"/>
      <c r="L86" s="55">
        <v>86</v>
      </c>
      <c r="M86" s="55"/>
      <c r="N86" s="86">
        <v>1</v>
      </c>
      <c r="O86" s="84">
        <v>0</v>
      </c>
    </row>
    <row r="87" spans="1:15" x14ac:dyDescent="0.25">
      <c r="A87" s="85" t="s">
        <v>230</v>
      </c>
      <c r="B87" s="70" t="s">
        <v>206</v>
      </c>
      <c r="C87" s="50"/>
      <c r="D87" s="51"/>
      <c r="E87" s="50"/>
      <c r="F87" s="52"/>
      <c r="G87" s="50"/>
      <c r="H87" s="54"/>
      <c r="I87" s="53"/>
      <c r="J87" s="53"/>
      <c r="K87" s="59"/>
      <c r="L87" s="55">
        <v>87</v>
      </c>
      <c r="M87" s="55"/>
      <c r="N87" s="86">
        <v>1</v>
      </c>
      <c r="O87" s="84">
        <v>0</v>
      </c>
    </row>
    <row r="88" spans="1:15" x14ac:dyDescent="0.25">
      <c r="A88" s="85" t="s">
        <v>230</v>
      </c>
      <c r="B88" s="70" t="s">
        <v>219</v>
      </c>
      <c r="C88" s="50"/>
      <c r="D88" s="51"/>
      <c r="E88" s="50"/>
      <c r="F88" s="52"/>
      <c r="G88" s="50"/>
      <c r="H88" s="54"/>
      <c r="I88" s="53"/>
      <c r="J88" s="53"/>
      <c r="K88" s="59"/>
      <c r="L88" s="55">
        <v>88</v>
      </c>
      <c r="M88" s="55"/>
      <c r="N88" s="86">
        <v>1</v>
      </c>
      <c r="O88" s="84">
        <v>0</v>
      </c>
    </row>
    <row r="89" spans="1:15" x14ac:dyDescent="0.25">
      <c r="A89" s="85" t="s">
        <v>230</v>
      </c>
      <c r="B89" s="70" t="s">
        <v>225</v>
      </c>
      <c r="C89" s="50"/>
      <c r="D89" s="51"/>
      <c r="E89" s="50"/>
      <c r="F89" s="52"/>
      <c r="G89" s="50"/>
      <c r="H89" s="54"/>
      <c r="I89" s="53"/>
      <c r="J89" s="53"/>
      <c r="K89" s="59"/>
      <c r="L89" s="55">
        <v>89</v>
      </c>
      <c r="M89" s="55"/>
      <c r="N89" s="86">
        <v>1</v>
      </c>
      <c r="O89" s="84">
        <v>0</v>
      </c>
    </row>
    <row r="90" spans="1:15" x14ac:dyDescent="0.25">
      <c r="A90" s="85" t="s">
        <v>230</v>
      </c>
      <c r="B90" s="70" t="s">
        <v>189</v>
      </c>
      <c r="C90" s="50"/>
      <c r="D90" s="51"/>
      <c r="E90" s="50"/>
      <c r="F90" s="52"/>
      <c r="G90" s="50"/>
      <c r="H90" s="54"/>
      <c r="I90" s="53"/>
      <c r="J90" s="53"/>
      <c r="K90" s="59"/>
      <c r="L90" s="55">
        <v>90</v>
      </c>
      <c r="M90" s="55"/>
      <c r="N90" s="86">
        <v>1</v>
      </c>
      <c r="O90" s="84">
        <v>0</v>
      </c>
    </row>
    <row r="91" spans="1:15" x14ac:dyDescent="0.25">
      <c r="A91" s="85" t="s">
        <v>230</v>
      </c>
      <c r="B91" s="70" t="s">
        <v>220</v>
      </c>
      <c r="C91" s="50"/>
      <c r="D91" s="51"/>
      <c r="E91" s="50"/>
      <c r="F91" s="52"/>
      <c r="G91" s="50"/>
      <c r="H91" s="54"/>
      <c r="I91" s="53"/>
      <c r="J91" s="53"/>
      <c r="K91" s="59"/>
      <c r="L91" s="55">
        <v>91</v>
      </c>
      <c r="M91" s="55"/>
      <c r="N91" s="86">
        <v>1</v>
      </c>
      <c r="O91" s="84">
        <v>0</v>
      </c>
    </row>
    <row r="92" spans="1:15" x14ac:dyDescent="0.25">
      <c r="A92" s="85" t="s">
        <v>190</v>
      </c>
      <c r="B92" s="70" t="s">
        <v>213</v>
      </c>
      <c r="C92" s="50"/>
      <c r="D92" s="51"/>
      <c r="E92" s="50"/>
      <c r="F92" s="52"/>
      <c r="G92" s="50"/>
      <c r="H92" s="54"/>
      <c r="I92" s="53"/>
      <c r="J92" s="53"/>
      <c r="K92" s="59"/>
      <c r="L92" s="55">
        <v>92</v>
      </c>
      <c r="M92" s="55"/>
      <c r="N92" s="86">
        <v>1</v>
      </c>
      <c r="O92" s="84">
        <v>0</v>
      </c>
    </row>
    <row r="93" spans="1:15" x14ac:dyDescent="0.25">
      <c r="A93" s="85" t="s">
        <v>190</v>
      </c>
      <c r="B93" s="70" t="s">
        <v>217</v>
      </c>
      <c r="C93" s="50"/>
      <c r="D93" s="51"/>
      <c r="E93" s="50"/>
      <c r="F93" s="52"/>
      <c r="G93" s="50"/>
      <c r="H93" s="54"/>
      <c r="I93" s="53"/>
      <c r="J93" s="53"/>
      <c r="K93" s="59"/>
      <c r="L93" s="55">
        <v>93</v>
      </c>
      <c r="M93" s="55"/>
      <c r="N93" s="86">
        <v>1</v>
      </c>
      <c r="O93" s="89">
        <v>1</v>
      </c>
    </row>
    <row r="94" spans="1:15" x14ac:dyDescent="0.25">
      <c r="A94" s="85" t="s">
        <v>190</v>
      </c>
      <c r="B94" s="70" t="s">
        <v>229</v>
      </c>
      <c r="C94" s="50"/>
      <c r="D94" s="51"/>
      <c r="E94" s="50"/>
      <c r="F94" s="52"/>
      <c r="G94" s="50"/>
      <c r="H94" s="54"/>
      <c r="I94" s="53"/>
      <c r="J94" s="53"/>
      <c r="K94" s="59"/>
      <c r="L94" s="55">
        <v>94</v>
      </c>
      <c r="M94" s="55"/>
      <c r="N94" s="86">
        <v>1</v>
      </c>
      <c r="O94" s="84">
        <v>0</v>
      </c>
    </row>
    <row r="95" spans="1:15" x14ac:dyDescent="0.25">
      <c r="A95" s="85" t="s">
        <v>190</v>
      </c>
      <c r="B95" s="70" t="s">
        <v>188</v>
      </c>
      <c r="C95" s="50"/>
      <c r="D95" s="51"/>
      <c r="E95" s="50"/>
      <c r="F95" s="52"/>
      <c r="G95" s="50"/>
      <c r="H95" s="54"/>
      <c r="I95" s="53"/>
      <c r="J95" s="53"/>
      <c r="K95" s="59"/>
      <c r="L95" s="55">
        <v>95</v>
      </c>
      <c r="M95" s="55"/>
      <c r="N95" s="86">
        <v>1</v>
      </c>
      <c r="O95" s="89">
        <v>1</v>
      </c>
    </row>
    <row r="96" spans="1:15" x14ac:dyDescent="0.25">
      <c r="A96" s="85" t="s">
        <v>190</v>
      </c>
      <c r="B96" s="70" t="s">
        <v>189</v>
      </c>
      <c r="C96" s="50"/>
      <c r="D96" s="51"/>
      <c r="E96" s="50"/>
      <c r="F96" s="52"/>
      <c r="G96" s="50"/>
      <c r="H96" s="54"/>
      <c r="I96" s="53"/>
      <c r="J96" s="53"/>
      <c r="K96" s="59"/>
      <c r="L96" s="55">
        <v>96</v>
      </c>
      <c r="M96" s="55"/>
      <c r="N96" s="86">
        <v>1</v>
      </c>
      <c r="O96" s="84">
        <v>0</v>
      </c>
    </row>
    <row r="97" spans="1:15" x14ac:dyDescent="0.25">
      <c r="A97" s="85" t="s">
        <v>203</v>
      </c>
      <c r="B97" s="70" t="s">
        <v>208</v>
      </c>
      <c r="C97" s="50"/>
      <c r="D97" s="51"/>
      <c r="E97" s="50"/>
      <c r="F97" s="52"/>
      <c r="G97" s="50"/>
      <c r="H97" s="54"/>
      <c r="I97" s="53"/>
      <c r="J97" s="53"/>
      <c r="K97" s="59"/>
      <c r="L97" s="55">
        <v>97</v>
      </c>
      <c r="M97" s="55"/>
      <c r="N97" s="86">
        <v>1</v>
      </c>
      <c r="O97" s="84">
        <v>0</v>
      </c>
    </row>
    <row r="98" spans="1:15" x14ac:dyDescent="0.25">
      <c r="A98" s="85" t="s">
        <v>203</v>
      </c>
      <c r="B98" s="70" t="s">
        <v>205</v>
      </c>
      <c r="C98" s="50"/>
      <c r="D98" s="51"/>
      <c r="E98" s="50"/>
      <c r="F98" s="52"/>
      <c r="G98" s="50"/>
      <c r="H98" s="54"/>
      <c r="I98" s="53"/>
      <c r="J98" s="53"/>
      <c r="K98" s="59"/>
      <c r="L98" s="55">
        <v>98</v>
      </c>
      <c r="M98" s="55"/>
      <c r="N98" s="86">
        <v>1</v>
      </c>
      <c r="O98" s="84">
        <v>0</v>
      </c>
    </row>
    <row r="99" spans="1:15" x14ac:dyDescent="0.25">
      <c r="A99" s="85" t="s">
        <v>203</v>
      </c>
      <c r="B99" s="70" t="s">
        <v>204</v>
      </c>
      <c r="C99" s="50"/>
      <c r="D99" s="51"/>
      <c r="E99" s="50"/>
      <c r="F99" s="52"/>
      <c r="G99" s="50"/>
      <c r="H99" s="54"/>
      <c r="I99" s="53"/>
      <c r="J99" s="53"/>
      <c r="K99" s="59"/>
      <c r="L99" s="55">
        <v>99</v>
      </c>
      <c r="M99" s="55"/>
      <c r="N99" s="86">
        <v>1</v>
      </c>
      <c r="O99" s="84">
        <v>0</v>
      </c>
    </row>
    <row r="100" spans="1:15" x14ac:dyDescent="0.25">
      <c r="A100" s="85" t="s">
        <v>203</v>
      </c>
      <c r="B100" s="70" t="s">
        <v>214</v>
      </c>
      <c r="C100" s="50"/>
      <c r="D100" s="51"/>
      <c r="E100" s="50"/>
      <c r="F100" s="52"/>
      <c r="G100" s="50"/>
      <c r="H100" s="54"/>
      <c r="I100" s="53"/>
      <c r="J100" s="53"/>
      <c r="K100" s="59"/>
      <c r="L100" s="55">
        <v>100</v>
      </c>
      <c r="M100" s="55"/>
      <c r="N100" s="86">
        <v>1</v>
      </c>
      <c r="O100" s="84">
        <v>0</v>
      </c>
    </row>
    <row r="101" spans="1:15" x14ac:dyDescent="0.25">
      <c r="A101" s="85" t="s">
        <v>203</v>
      </c>
      <c r="B101" s="70" t="s">
        <v>206</v>
      </c>
      <c r="C101" s="50"/>
      <c r="D101" s="51"/>
      <c r="E101" s="50"/>
      <c r="F101" s="52"/>
      <c r="G101" s="50"/>
      <c r="H101" s="54"/>
      <c r="I101" s="53"/>
      <c r="J101" s="53"/>
      <c r="K101" s="59"/>
      <c r="L101" s="55">
        <v>101</v>
      </c>
      <c r="M101" s="55"/>
      <c r="N101" s="86">
        <v>1</v>
      </c>
      <c r="O101" s="84">
        <v>0</v>
      </c>
    </row>
    <row r="102" spans="1:15" x14ac:dyDescent="0.25">
      <c r="A102" s="85" t="s">
        <v>203</v>
      </c>
      <c r="B102" s="70" t="s">
        <v>219</v>
      </c>
      <c r="C102" s="50"/>
      <c r="D102" s="51"/>
      <c r="E102" s="50"/>
      <c r="F102" s="52"/>
      <c r="G102" s="50"/>
      <c r="H102" s="54"/>
      <c r="I102" s="53"/>
      <c r="J102" s="53"/>
      <c r="K102" s="59"/>
      <c r="L102" s="55">
        <v>102</v>
      </c>
      <c r="M102" s="55"/>
      <c r="N102" s="86">
        <v>1</v>
      </c>
      <c r="O102" s="84">
        <v>0</v>
      </c>
    </row>
    <row r="103" spans="1:15" x14ac:dyDescent="0.25">
      <c r="A103" s="85" t="s">
        <v>203</v>
      </c>
      <c r="B103" s="70" t="s">
        <v>189</v>
      </c>
      <c r="C103" s="50"/>
      <c r="D103" s="51"/>
      <c r="E103" s="50"/>
      <c r="F103" s="52"/>
      <c r="G103" s="50"/>
      <c r="H103" s="54"/>
      <c r="I103" s="53"/>
      <c r="J103" s="53"/>
      <c r="K103" s="59"/>
      <c r="L103" s="55">
        <v>103</v>
      </c>
      <c r="M103" s="55"/>
      <c r="N103" s="86">
        <v>1</v>
      </c>
      <c r="O103" s="84">
        <v>0</v>
      </c>
    </row>
    <row r="104" spans="1:15" x14ac:dyDescent="0.25">
      <c r="A104" s="85" t="s">
        <v>202</v>
      </c>
      <c r="B104" s="70" t="s">
        <v>205</v>
      </c>
      <c r="C104" s="50"/>
      <c r="D104" s="51"/>
      <c r="E104" s="50"/>
      <c r="F104" s="52"/>
      <c r="G104" s="50"/>
      <c r="H104" s="54"/>
      <c r="I104" s="53"/>
      <c r="J104" s="53"/>
      <c r="K104" s="59"/>
      <c r="L104" s="55">
        <v>104</v>
      </c>
      <c r="M104" s="55"/>
      <c r="N104" s="86">
        <v>1</v>
      </c>
      <c r="O104" s="84">
        <v>0</v>
      </c>
    </row>
    <row r="105" spans="1:15" x14ac:dyDescent="0.25">
      <c r="A105" s="85" t="s">
        <v>202</v>
      </c>
      <c r="B105" s="70" t="s">
        <v>201</v>
      </c>
      <c r="C105" s="50"/>
      <c r="D105" s="51"/>
      <c r="E105" s="50"/>
      <c r="F105" s="52"/>
      <c r="G105" s="50"/>
      <c r="H105" s="54"/>
      <c r="I105" s="53"/>
      <c r="J105" s="53"/>
      <c r="K105" s="59"/>
      <c r="L105" s="55">
        <v>105</v>
      </c>
      <c r="M105" s="55"/>
      <c r="N105" s="86">
        <v>1</v>
      </c>
      <c r="O105" s="84">
        <v>0</v>
      </c>
    </row>
    <row r="106" spans="1:15" x14ac:dyDescent="0.25">
      <c r="A106" s="85" t="s">
        <v>202</v>
      </c>
      <c r="B106" s="70" t="s">
        <v>212</v>
      </c>
      <c r="C106" s="50"/>
      <c r="D106" s="51"/>
      <c r="E106" s="50"/>
      <c r="F106" s="52"/>
      <c r="G106" s="50"/>
      <c r="H106" s="54"/>
      <c r="I106" s="53"/>
      <c r="J106" s="53"/>
      <c r="K106" s="59"/>
      <c r="L106" s="55">
        <v>106</v>
      </c>
      <c r="M106" s="55"/>
      <c r="N106" s="86">
        <v>1</v>
      </c>
      <c r="O106" s="84">
        <v>0</v>
      </c>
    </row>
    <row r="107" spans="1:15" x14ac:dyDescent="0.25">
      <c r="A107" s="85" t="s">
        <v>202</v>
      </c>
      <c r="B107" s="70" t="s">
        <v>210</v>
      </c>
      <c r="C107" s="50"/>
      <c r="D107" s="51"/>
      <c r="E107" s="50"/>
      <c r="F107" s="52"/>
      <c r="G107" s="50"/>
      <c r="H107" s="54"/>
      <c r="I107" s="53"/>
      <c r="J107" s="53"/>
      <c r="K107" s="59"/>
      <c r="L107" s="55">
        <v>107</v>
      </c>
      <c r="M107" s="55"/>
      <c r="N107" s="86">
        <v>1</v>
      </c>
      <c r="O107" s="84">
        <v>0</v>
      </c>
    </row>
    <row r="108" spans="1:15" x14ac:dyDescent="0.25">
      <c r="A108" s="85" t="s">
        <v>202</v>
      </c>
      <c r="B108" s="70" t="s">
        <v>211</v>
      </c>
      <c r="C108" s="50"/>
      <c r="D108" s="51"/>
      <c r="E108" s="50"/>
      <c r="F108" s="52"/>
      <c r="G108" s="50"/>
      <c r="H108" s="54"/>
      <c r="I108" s="53"/>
      <c r="J108" s="53"/>
      <c r="K108" s="59"/>
      <c r="L108" s="55">
        <v>108</v>
      </c>
      <c r="M108" s="55"/>
      <c r="N108" s="86">
        <v>1</v>
      </c>
      <c r="O108" s="84">
        <v>0</v>
      </c>
    </row>
    <row r="109" spans="1:15" x14ac:dyDescent="0.25">
      <c r="A109" s="85" t="s">
        <v>202</v>
      </c>
      <c r="B109" s="70" t="s">
        <v>224</v>
      </c>
      <c r="C109" s="50"/>
      <c r="D109" s="51"/>
      <c r="E109" s="50"/>
      <c r="F109" s="52"/>
      <c r="G109" s="50"/>
      <c r="H109" s="54"/>
      <c r="I109" s="53"/>
      <c r="J109" s="53"/>
      <c r="K109" s="59"/>
      <c r="L109" s="55">
        <v>109</v>
      </c>
      <c r="M109" s="55"/>
      <c r="N109" s="86">
        <v>1</v>
      </c>
      <c r="O109" s="84">
        <v>0</v>
      </c>
    </row>
    <row r="110" spans="1:15" x14ac:dyDescent="0.25">
      <c r="A110" s="85" t="s">
        <v>202</v>
      </c>
      <c r="B110" s="70" t="s">
        <v>207</v>
      </c>
      <c r="C110" s="50"/>
      <c r="D110" s="51"/>
      <c r="E110" s="50"/>
      <c r="F110" s="52"/>
      <c r="G110" s="50"/>
      <c r="H110" s="54"/>
      <c r="I110" s="53"/>
      <c r="J110" s="53"/>
      <c r="K110" s="59"/>
      <c r="L110" s="55">
        <v>110</v>
      </c>
      <c r="M110" s="55"/>
      <c r="N110" s="86">
        <v>1</v>
      </c>
      <c r="O110" s="84">
        <v>0</v>
      </c>
    </row>
    <row r="111" spans="1:15" x14ac:dyDescent="0.25">
      <c r="A111" s="85" t="s">
        <v>202</v>
      </c>
      <c r="B111" s="70" t="s">
        <v>200</v>
      </c>
      <c r="C111" s="50"/>
      <c r="D111" s="51"/>
      <c r="E111" s="50"/>
      <c r="F111" s="52"/>
      <c r="G111" s="50"/>
      <c r="H111" s="54"/>
      <c r="I111" s="53"/>
      <c r="J111" s="53"/>
      <c r="K111" s="59"/>
      <c r="L111" s="55">
        <v>111</v>
      </c>
      <c r="M111" s="55"/>
      <c r="N111" s="86">
        <v>1</v>
      </c>
      <c r="O111" s="84">
        <v>0</v>
      </c>
    </row>
    <row r="112" spans="1:15" x14ac:dyDescent="0.25">
      <c r="A112" s="85" t="s">
        <v>202</v>
      </c>
      <c r="B112" s="70" t="s">
        <v>209</v>
      </c>
      <c r="C112" s="50"/>
      <c r="D112" s="51"/>
      <c r="E112" s="50"/>
      <c r="F112" s="52"/>
      <c r="G112" s="50"/>
      <c r="H112" s="54"/>
      <c r="I112" s="53"/>
      <c r="J112" s="53"/>
      <c r="K112" s="59"/>
      <c r="L112" s="55">
        <v>112</v>
      </c>
      <c r="M112" s="55"/>
      <c r="N112" s="86">
        <v>1</v>
      </c>
      <c r="O112" s="84">
        <v>0</v>
      </c>
    </row>
    <row r="113" spans="1:15" x14ac:dyDescent="0.25">
      <c r="A113" s="85" t="s">
        <v>210</v>
      </c>
      <c r="B113" s="70" t="s">
        <v>201</v>
      </c>
      <c r="C113" s="50"/>
      <c r="D113" s="51"/>
      <c r="E113" s="50"/>
      <c r="F113" s="52"/>
      <c r="G113" s="50"/>
      <c r="H113" s="54"/>
      <c r="I113" s="53"/>
      <c r="J113" s="53"/>
      <c r="K113" s="59"/>
      <c r="L113" s="55">
        <v>113</v>
      </c>
      <c r="M113" s="55"/>
      <c r="N113" s="86">
        <v>1</v>
      </c>
      <c r="O113" s="89">
        <v>1</v>
      </c>
    </row>
    <row r="114" spans="1:15" x14ac:dyDescent="0.25">
      <c r="A114" s="85" t="s">
        <v>210</v>
      </c>
      <c r="B114" s="70" t="s">
        <v>202</v>
      </c>
      <c r="C114" s="50"/>
      <c r="D114" s="51"/>
      <c r="E114" s="50"/>
      <c r="F114" s="52"/>
      <c r="G114" s="50"/>
      <c r="H114" s="54"/>
      <c r="I114" s="53"/>
      <c r="J114" s="53"/>
      <c r="K114" s="59"/>
      <c r="L114" s="55">
        <v>114</v>
      </c>
      <c r="M114" s="55"/>
      <c r="N114" s="86">
        <v>1</v>
      </c>
      <c r="O114" s="84">
        <v>0</v>
      </c>
    </row>
    <row r="115" spans="1:15" x14ac:dyDescent="0.25">
      <c r="A115" s="85" t="s">
        <v>210</v>
      </c>
      <c r="B115" s="70" t="s">
        <v>215</v>
      </c>
      <c r="C115" s="50"/>
      <c r="D115" s="51"/>
      <c r="E115" s="50"/>
      <c r="F115" s="52"/>
      <c r="G115" s="50"/>
      <c r="H115" s="54"/>
      <c r="I115" s="53"/>
      <c r="J115" s="53"/>
      <c r="K115" s="59"/>
      <c r="L115" s="55">
        <v>115</v>
      </c>
      <c r="M115" s="55"/>
      <c r="N115" s="86">
        <v>1</v>
      </c>
      <c r="O115" s="84">
        <v>0</v>
      </c>
    </row>
    <row r="116" spans="1:15" x14ac:dyDescent="0.25">
      <c r="A116" s="85" t="s">
        <v>210</v>
      </c>
      <c r="B116" s="70" t="s">
        <v>211</v>
      </c>
      <c r="C116" s="50"/>
      <c r="D116" s="51"/>
      <c r="E116" s="50"/>
      <c r="F116" s="52"/>
      <c r="G116" s="50"/>
      <c r="H116" s="54"/>
      <c r="I116" s="53"/>
      <c r="J116" s="53"/>
      <c r="K116" s="59"/>
      <c r="L116" s="55">
        <v>116</v>
      </c>
      <c r="M116" s="55"/>
      <c r="N116" s="86">
        <v>1</v>
      </c>
      <c r="O116" s="89">
        <v>1</v>
      </c>
    </row>
    <row r="117" spans="1:15" x14ac:dyDescent="0.25">
      <c r="A117" s="85" t="s">
        <v>210</v>
      </c>
      <c r="B117" s="70" t="s">
        <v>207</v>
      </c>
      <c r="C117" s="50"/>
      <c r="D117" s="51"/>
      <c r="E117" s="50"/>
      <c r="F117" s="52"/>
      <c r="G117" s="50"/>
      <c r="H117" s="54"/>
      <c r="I117" s="53"/>
      <c r="J117" s="53"/>
      <c r="K117" s="59"/>
      <c r="L117" s="55">
        <v>117</v>
      </c>
      <c r="M117" s="55"/>
      <c r="N117" s="86">
        <v>1</v>
      </c>
      <c r="O117" s="84">
        <v>0</v>
      </c>
    </row>
    <row r="118" spans="1:15" x14ac:dyDescent="0.25">
      <c r="A118" s="85" t="s">
        <v>210</v>
      </c>
      <c r="B118" s="70" t="s">
        <v>200</v>
      </c>
      <c r="C118" s="50"/>
      <c r="D118" s="51"/>
      <c r="E118" s="50"/>
      <c r="F118" s="52"/>
      <c r="G118" s="50"/>
      <c r="H118" s="54"/>
      <c r="I118" s="53"/>
      <c r="J118" s="53"/>
      <c r="K118" s="59"/>
      <c r="L118" s="55">
        <v>118</v>
      </c>
      <c r="M118" s="55"/>
      <c r="N118" s="86">
        <v>1</v>
      </c>
      <c r="O118" s="84">
        <v>0</v>
      </c>
    </row>
    <row r="119" spans="1:15" x14ac:dyDescent="0.25">
      <c r="A119" s="85" t="s">
        <v>210</v>
      </c>
      <c r="B119" s="70" t="s">
        <v>209</v>
      </c>
      <c r="C119" s="50"/>
      <c r="D119" s="51"/>
      <c r="E119" s="50"/>
      <c r="F119" s="52"/>
      <c r="G119" s="50"/>
      <c r="H119" s="54"/>
      <c r="I119" s="53"/>
      <c r="J119" s="53"/>
      <c r="K119" s="59"/>
      <c r="L119" s="55">
        <v>119</v>
      </c>
      <c r="M119" s="55"/>
      <c r="N119" s="86">
        <v>1</v>
      </c>
      <c r="O119" s="84">
        <v>0</v>
      </c>
    </row>
    <row r="120" spans="1:15" x14ac:dyDescent="0.25">
      <c r="A120" s="85" t="s">
        <v>221</v>
      </c>
      <c r="B120" s="70" t="s">
        <v>213</v>
      </c>
      <c r="C120" s="50"/>
      <c r="D120" s="51"/>
      <c r="E120" s="50"/>
      <c r="F120" s="52"/>
      <c r="G120" s="50"/>
      <c r="H120" s="54"/>
      <c r="I120" s="53"/>
      <c r="J120" s="53"/>
      <c r="K120" s="59"/>
      <c r="L120" s="55">
        <v>120</v>
      </c>
      <c r="M120" s="55"/>
      <c r="N120" s="86">
        <v>1</v>
      </c>
      <c r="O120" s="84">
        <v>0</v>
      </c>
    </row>
    <row r="121" spans="1:15" x14ac:dyDescent="0.25">
      <c r="A121" s="85" t="s">
        <v>221</v>
      </c>
      <c r="B121" s="70" t="s">
        <v>214</v>
      </c>
      <c r="C121" s="50"/>
      <c r="D121" s="51"/>
      <c r="E121" s="50"/>
      <c r="F121" s="52"/>
      <c r="G121" s="50"/>
      <c r="H121" s="54"/>
      <c r="I121" s="53"/>
      <c r="J121" s="53"/>
      <c r="K121" s="59"/>
      <c r="L121" s="55">
        <v>121</v>
      </c>
      <c r="M121" s="55"/>
      <c r="N121" s="86">
        <v>1</v>
      </c>
      <c r="O121" s="84">
        <v>0</v>
      </c>
    </row>
    <row r="122" spans="1:15" x14ac:dyDescent="0.25">
      <c r="A122" s="85" t="s">
        <v>223</v>
      </c>
      <c r="B122" s="70" t="s">
        <v>211</v>
      </c>
      <c r="C122" s="50"/>
      <c r="D122" s="51"/>
      <c r="E122" s="50"/>
      <c r="F122" s="52"/>
      <c r="G122" s="50"/>
      <c r="H122" s="54"/>
      <c r="I122" s="53"/>
      <c r="J122" s="53"/>
      <c r="K122" s="59"/>
      <c r="L122" s="55">
        <v>122</v>
      </c>
      <c r="M122" s="55"/>
      <c r="N122" s="86">
        <v>1</v>
      </c>
      <c r="O122" s="84">
        <v>0</v>
      </c>
    </row>
    <row r="123" spans="1:15" x14ac:dyDescent="0.25">
      <c r="A123" s="85" t="s">
        <v>217</v>
      </c>
      <c r="B123" s="70" t="s">
        <v>190</v>
      </c>
      <c r="C123" s="50"/>
      <c r="D123" s="51"/>
      <c r="E123" s="50"/>
      <c r="F123" s="52"/>
      <c r="G123" s="50"/>
      <c r="H123" s="54"/>
      <c r="I123" s="53"/>
      <c r="J123" s="53"/>
      <c r="K123" s="59"/>
      <c r="L123" s="55">
        <v>123</v>
      </c>
      <c r="M123" s="55"/>
      <c r="N123" s="86">
        <v>1</v>
      </c>
      <c r="O123" s="89">
        <v>1</v>
      </c>
    </row>
    <row r="124" spans="1:15" x14ac:dyDescent="0.25">
      <c r="A124" s="85" t="s">
        <v>217</v>
      </c>
      <c r="B124" s="70" t="s">
        <v>229</v>
      </c>
      <c r="C124" s="50"/>
      <c r="D124" s="51"/>
      <c r="E124" s="50"/>
      <c r="F124" s="52"/>
      <c r="G124" s="50"/>
      <c r="H124" s="54"/>
      <c r="I124" s="53"/>
      <c r="J124" s="53"/>
      <c r="K124" s="59"/>
      <c r="L124" s="55">
        <v>124</v>
      </c>
      <c r="M124" s="55"/>
      <c r="N124" s="86">
        <v>1</v>
      </c>
      <c r="O124" s="84">
        <v>0</v>
      </c>
    </row>
    <row r="125" spans="1:15" x14ac:dyDescent="0.25">
      <c r="A125" s="85" t="s">
        <v>217</v>
      </c>
      <c r="B125" s="70" t="s">
        <v>222</v>
      </c>
      <c r="C125" s="50"/>
      <c r="D125" s="51"/>
      <c r="E125" s="50"/>
      <c r="F125" s="52"/>
      <c r="G125" s="50"/>
      <c r="H125" s="54"/>
      <c r="I125" s="53"/>
      <c r="J125" s="53"/>
      <c r="K125" s="59"/>
      <c r="L125" s="55">
        <v>125</v>
      </c>
      <c r="M125" s="55"/>
      <c r="N125" s="86">
        <v>1</v>
      </c>
      <c r="O125" s="84">
        <v>0</v>
      </c>
    </row>
    <row r="126" spans="1:15" x14ac:dyDescent="0.25">
      <c r="A126" s="85" t="s">
        <v>217</v>
      </c>
      <c r="B126" s="70" t="s">
        <v>188</v>
      </c>
      <c r="C126" s="50"/>
      <c r="D126" s="51"/>
      <c r="E126" s="50"/>
      <c r="F126" s="52"/>
      <c r="G126" s="50"/>
      <c r="H126" s="54"/>
      <c r="I126" s="53"/>
      <c r="J126" s="53"/>
      <c r="K126" s="59"/>
      <c r="L126" s="55">
        <v>126</v>
      </c>
      <c r="M126" s="55"/>
      <c r="N126" s="86">
        <v>1</v>
      </c>
      <c r="O126" s="89">
        <v>1</v>
      </c>
    </row>
    <row r="127" spans="1:15" x14ac:dyDescent="0.25">
      <c r="A127" s="85" t="s">
        <v>217</v>
      </c>
      <c r="B127" s="70" t="s">
        <v>189</v>
      </c>
      <c r="C127" s="50"/>
      <c r="D127" s="51"/>
      <c r="E127" s="50"/>
      <c r="F127" s="52"/>
      <c r="G127" s="50"/>
      <c r="H127" s="54"/>
      <c r="I127" s="53"/>
      <c r="J127" s="53"/>
      <c r="K127" s="59"/>
      <c r="L127" s="55">
        <v>127</v>
      </c>
      <c r="M127" s="55"/>
      <c r="N127" s="86">
        <v>1</v>
      </c>
      <c r="O127" s="84">
        <v>0</v>
      </c>
    </row>
    <row r="128" spans="1:15" x14ac:dyDescent="0.25">
      <c r="A128" s="85" t="s">
        <v>229</v>
      </c>
      <c r="B128" s="70" t="s">
        <v>213</v>
      </c>
      <c r="C128" s="50"/>
      <c r="D128" s="51"/>
      <c r="E128" s="50"/>
      <c r="F128" s="52"/>
      <c r="G128" s="50"/>
      <c r="H128" s="54"/>
      <c r="I128" s="53"/>
      <c r="J128" s="53"/>
      <c r="K128" s="59"/>
      <c r="L128" s="55">
        <v>128</v>
      </c>
      <c r="M128" s="55"/>
      <c r="N128" s="86">
        <v>1</v>
      </c>
      <c r="O128" s="84">
        <v>0</v>
      </c>
    </row>
    <row r="129" spans="1:15" x14ac:dyDescent="0.25">
      <c r="A129" s="85" t="s">
        <v>229</v>
      </c>
      <c r="B129" s="70" t="s">
        <v>217</v>
      </c>
      <c r="C129" s="50"/>
      <c r="D129" s="51"/>
      <c r="E129" s="50"/>
      <c r="F129" s="52"/>
      <c r="G129" s="50"/>
      <c r="H129" s="54"/>
      <c r="I129" s="53"/>
      <c r="J129" s="53"/>
      <c r="K129" s="59"/>
      <c r="L129" s="55">
        <v>129</v>
      </c>
      <c r="M129" s="55"/>
      <c r="N129" s="86">
        <v>1</v>
      </c>
      <c r="O129" s="84">
        <v>0</v>
      </c>
    </row>
    <row r="130" spans="1:15" x14ac:dyDescent="0.25">
      <c r="A130" s="85" t="s">
        <v>229</v>
      </c>
      <c r="B130" s="70" t="s">
        <v>222</v>
      </c>
      <c r="C130" s="50"/>
      <c r="D130" s="51"/>
      <c r="E130" s="50"/>
      <c r="F130" s="52"/>
      <c r="G130" s="50"/>
      <c r="H130" s="54"/>
      <c r="I130" s="53"/>
      <c r="J130" s="53"/>
      <c r="K130" s="59"/>
      <c r="L130" s="55">
        <v>130</v>
      </c>
      <c r="M130" s="55"/>
      <c r="N130" s="86">
        <v>1</v>
      </c>
      <c r="O130" s="89">
        <v>1</v>
      </c>
    </row>
    <row r="131" spans="1:15" x14ac:dyDescent="0.25">
      <c r="A131" s="85" t="s">
        <v>229</v>
      </c>
      <c r="B131" s="70" t="s">
        <v>189</v>
      </c>
      <c r="C131" s="50"/>
      <c r="D131" s="51"/>
      <c r="E131" s="50"/>
      <c r="F131" s="52"/>
      <c r="G131" s="50"/>
      <c r="H131" s="54"/>
      <c r="I131" s="53"/>
      <c r="J131" s="53"/>
      <c r="K131" s="59"/>
      <c r="L131" s="55">
        <v>131</v>
      </c>
      <c r="M131" s="55"/>
      <c r="N131" s="86">
        <v>1</v>
      </c>
      <c r="O131" s="84">
        <v>0</v>
      </c>
    </row>
    <row r="132" spans="1:15" x14ac:dyDescent="0.25">
      <c r="A132" s="85" t="s">
        <v>192</v>
      </c>
      <c r="B132" s="70" t="s">
        <v>208</v>
      </c>
      <c r="C132" s="50"/>
      <c r="D132" s="51"/>
      <c r="E132" s="50"/>
      <c r="F132" s="52"/>
      <c r="G132" s="50"/>
      <c r="H132" s="54"/>
      <c r="I132" s="53"/>
      <c r="J132" s="53"/>
      <c r="K132" s="59"/>
      <c r="L132" s="55">
        <v>132</v>
      </c>
      <c r="M132" s="55"/>
      <c r="N132" s="86">
        <v>1</v>
      </c>
      <c r="O132" s="89">
        <v>1</v>
      </c>
    </row>
    <row r="133" spans="1:15" x14ac:dyDescent="0.25">
      <c r="A133" s="85" t="s">
        <v>192</v>
      </c>
      <c r="B133" s="70" t="s">
        <v>212</v>
      </c>
      <c r="C133" s="50"/>
      <c r="D133" s="51"/>
      <c r="E133" s="50"/>
      <c r="F133" s="52"/>
      <c r="G133" s="50"/>
      <c r="H133" s="54"/>
      <c r="I133" s="53"/>
      <c r="J133" s="53"/>
      <c r="K133" s="59"/>
      <c r="L133" s="55">
        <v>133</v>
      </c>
      <c r="M133" s="55"/>
      <c r="N133" s="86">
        <v>1</v>
      </c>
      <c r="O133" s="84">
        <v>0</v>
      </c>
    </row>
    <row r="134" spans="1:15" x14ac:dyDescent="0.25">
      <c r="A134" s="85" t="s">
        <v>192</v>
      </c>
      <c r="B134" s="70" t="s">
        <v>197</v>
      </c>
      <c r="C134" s="50"/>
      <c r="D134" s="51"/>
      <c r="E134" s="50"/>
      <c r="F134" s="52"/>
      <c r="G134" s="50"/>
      <c r="H134" s="54"/>
      <c r="I134" s="53"/>
      <c r="J134" s="53"/>
      <c r="K134" s="59"/>
      <c r="L134" s="55">
        <v>134</v>
      </c>
      <c r="M134" s="55"/>
      <c r="N134" s="86">
        <v>1</v>
      </c>
      <c r="O134" s="84">
        <v>0</v>
      </c>
    </row>
    <row r="135" spans="1:15" x14ac:dyDescent="0.25">
      <c r="A135" s="85" t="s">
        <v>192</v>
      </c>
      <c r="B135" s="70" t="s">
        <v>191</v>
      </c>
      <c r="C135" s="50"/>
      <c r="D135" s="51"/>
      <c r="E135" s="50"/>
      <c r="F135" s="52"/>
      <c r="G135" s="50"/>
      <c r="H135" s="54"/>
      <c r="I135" s="53"/>
      <c r="J135" s="53"/>
      <c r="K135" s="59"/>
      <c r="L135" s="55">
        <v>135</v>
      </c>
      <c r="M135" s="55"/>
      <c r="N135" s="86">
        <v>1</v>
      </c>
      <c r="O135" s="84">
        <v>0</v>
      </c>
    </row>
    <row r="136" spans="1:15" x14ac:dyDescent="0.25">
      <c r="A136" s="85" t="s">
        <v>192</v>
      </c>
      <c r="B136" s="70" t="s">
        <v>202</v>
      </c>
      <c r="C136" s="50"/>
      <c r="D136" s="51"/>
      <c r="E136" s="50"/>
      <c r="F136" s="52"/>
      <c r="G136" s="50"/>
      <c r="H136" s="54"/>
      <c r="I136" s="53"/>
      <c r="J136" s="53"/>
      <c r="K136" s="59"/>
      <c r="L136" s="55">
        <v>136</v>
      </c>
      <c r="M136" s="55"/>
      <c r="N136" s="86">
        <v>1</v>
      </c>
      <c r="O136" s="84">
        <v>0</v>
      </c>
    </row>
    <row r="137" spans="1:15" x14ac:dyDescent="0.25">
      <c r="A137" s="85" t="s">
        <v>192</v>
      </c>
      <c r="B137" s="70" t="s">
        <v>199</v>
      </c>
      <c r="C137" s="50"/>
      <c r="D137" s="51"/>
      <c r="E137" s="50"/>
      <c r="F137" s="52"/>
      <c r="G137" s="50"/>
      <c r="H137" s="54"/>
      <c r="I137" s="53"/>
      <c r="J137" s="53"/>
      <c r="K137" s="59"/>
      <c r="L137" s="55">
        <v>137</v>
      </c>
      <c r="M137" s="55"/>
      <c r="N137" s="86">
        <v>1</v>
      </c>
      <c r="O137" s="84">
        <v>0</v>
      </c>
    </row>
    <row r="138" spans="1:15" x14ac:dyDescent="0.25">
      <c r="A138" s="85" t="s">
        <v>192</v>
      </c>
      <c r="B138" s="70" t="s">
        <v>196</v>
      </c>
      <c r="C138" s="50"/>
      <c r="D138" s="51"/>
      <c r="E138" s="50"/>
      <c r="F138" s="52"/>
      <c r="G138" s="50"/>
      <c r="H138" s="54"/>
      <c r="I138" s="53"/>
      <c r="J138" s="53"/>
      <c r="K138" s="59"/>
      <c r="L138" s="55">
        <v>138</v>
      </c>
      <c r="M138" s="55"/>
      <c r="N138" s="86">
        <v>1</v>
      </c>
      <c r="O138" s="84">
        <v>0</v>
      </c>
    </row>
    <row r="139" spans="1:15" x14ac:dyDescent="0.25">
      <c r="A139" s="85" t="s">
        <v>192</v>
      </c>
      <c r="B139" s="70" t="s">
        <v>215</v>
      </c>
      <c r="C139" s="50"/>
      <c r="D139" s="51"/>
      <c r="E139" s="50"/>
      <c r="F139" s="52"/>
      <c r="G139" s="50"/>
      <c r="H139" s="54"/>
      <c r="I139" s="53"/>
      <c r="J139" s="53"/>
      <c r="K139" s="59"/>
      <c r="L139" s="55">
        <v>139</v>
      </c>
      <c r="M139" s="55"/>
      <c r="N139" s="86">
        <v>1</v>
      </c>
      <c r="O139" s="84">
        <v>0</v>
      </c>
    </row>
    <row r="140" spans="1:15" x14ac:dyDescent="0.25">
      <c r="A140" s="85" t="s">
        <v>192</v>
      </c>
      <c r="B140" s="70" t="s">
        <v>189</v>
      </c>
      <c r="C140" s="50"/>
      <c r="D140" s="51"/>
      <c r="E140" s="50"/>
      <c r="F140" s="52"/>
      <c r="G140" s="50"/>
      <c r="H140" s="54"/>
      <c r="I140" s="53"/>
      <c r="J140" s="53"/>
      <c r="K140" s="59"/>
      <c r="L140" s="55">
        <v>140</v>
      </c>
      <c r="M140" s="55"/>
      <c r="N140" s="86">
        <v>1</v>
      </c>
      <c r="O140" s="84">
        <v>0</v>
      </c>
    </row>
    <row r="141" spans="1:15" x14ac:dyDescent="0.25">
      <c r="A141" s="85" t="s">
        <v>192</v>
      </c>
      <c r="B141" s="70" t="s">
        <v>193</v>
      </c>
      <c r="C141" s="50"/>
      <c r="D141" s="51"/>
      <c r="E141" s="50"/>
      <c r="F141" s="52"/>
      <c r="G141" s="50"/>
      <c r="H141" s="54"/>
      <c r="I141" s="53"/>
      <c r="J141" s="53"/>
      <c r="K141" s="59"/>
      <c r="L141" s="55">
        <v>141</v>
      </c>
      <c r="M141" s="55"/>
      <c r="N141" s="86">
        <v>1</v>
      </c>
      <c r="O141" s="84">
        <v>0</v>
      </c>
    </row>
    <row r="142" spans="1:15" x14ac:dyDescent="0.25">
      <c r="A142" s="85" t="s">
        <v>192</v>
      </c>
      <c r="B142" s="70" t="s">
        <v>194</v>
      </c>
      <c r="C142" s="50"/>
      <c r="D142" s="51"/>
      <c r="E142" s="50"/>
      <c r="F142" s="52"/>
      <c r="G142" s="50"/>
      <c r="H142" s="54"/>
      <c r="I142" s="53"/>
      <c r="J142" s="53"/>
      <c r="K142" s="59"/>
      <c r="L142" s="55">
        <v>142</v>
      </c>
      <c r="M142" s="55"/>
      <c r="N142" s="86">
        <v>1</v>
      </c>
      <c r="O142" s="84">
        <v>0</v>
      </c>
    </row>
    <row r="143" spans="1:15" x14ac:dyDescent="0.25">
      <c r="A143" s="85" t="s">
        <v>222</v>
      </c>
      <c r="B143" s="70" t="s">
        <v>229</v>
      </c>
      <c r="C143" s="50"/>
      <c r="D143" s="51"/>
      <c r="E143" s="50"/>
      <c r="F143" s="52"/>
      <c r="G143" s="50"/>
      <c r="H143" s="54"/>
      <c r="I143" s="53"/>
      <c r="J143" s="53"/>
      <c r="K143" s="59"/>
      <c r="L143" s="55">
        <v>143</v>
      </c>
      <c r="M143" s="55"/>
      <c r="N143" s="86">
        <v>1</v>
      </c>
      <c r="O143" s="89">
        <v>1</v>
      </c>
    </row>
    <row r="144" spans="1:15" x14ac:dyDescent="0.25">
      <c r="A144" s="85" t="s">
        <v>232</v>
      </c>
      <c r="B144" s="70" t="s">
        <v>208</v>
      </c>
      <c r="C144" s="50"/>
      <c r="D144" s="51"/>
      <c r="E144" s="50"/>
      <c r="F144" s="52"/>
      <c r="G144" s="50"/>
      <c r="H144" s="54"/>
      <c r="I144" s="53"/>
      <c r="J144" s="53"/>
      <c r="K144" s="59"/>
      <c r="L144" s="55">
        <v>144</v>
      </c>
      <c r="M144" s="55"/>
      <c r="N144" s="86">
        <v>1</v>
      </c>
      <c r="O144" s="89">
        <v>1</v>
      </c>
    </row>
    <row r="145" spans="1:15" x14ac:dyDescent="0.25">
      <c r="A145" s="85" t="s">
        <v>232</v>
      </c>
      <c r="B145" s="70" t="s">
        <v>231</v>
      </c>
      <c r="C145" s="50"/>
      <c r="D145" s="51"/>
      <c r="E145" s="50"/>
      <c r="F145" s="52"/>
      <c r="G145" s="50"/>
      <c r="H145" s="54"/>
      <c r="I145" s="53"/>
      <c r="J145" s="53"/>
      <c r="K145" s="59"/>
      <c r="L145" s="55">
        <v>145</v>
      </c>
      <c r="M145" s="55"/>
      <c r="N145" s="86">
        <v>1</v>
      </c>
      <c r="O145" s="84">
        <v>0</v>
      </c>
    </row>
    <row r="146" spans="1:15" x14ac:dyDescent="0.25">
      <c r="A146" s="85" t="s">
        <v>232</v>
      </c>
      <c r="B146" s="70" t="s">
        <v>215</v>
      </c>
      <c r="C146" s="50"/>
      <c r="D146" s="51"/>
      <c r="E146" s="50"/>
      <c r="F146" s="52"/>
      <c r="G146" s="50"/>
      <c r="H146" s="54"/>
      <c r="I146" s="53"/>
      <c r="J146" s="53"/>
      <c r="K146" s="59"/>
      <c r="L146" s="55">
        <v>146</v>
      </c>
      <c r="M146" s="55"/>
      <c r="N146" s="86">
        <v>1</v>
      </c>
      <c r="O146" s="84">
        <v>0</v>
      </c>
    </row>
    <row r="147" spans="1:15" x14ac:dyDescent="0.25">
      <c r="A147" s="85" t="s">
        <v>188</v>
      </c>
      <c r="B147" s="70" t="s">
        <v>190</v>
      </c>
      <c r="C147" s="50"/>
      <c r="D147" s="51"/>
      <c r="E147" s="50"/>
      <c r="F147" s="52"/>
      <c r="G147" s="50"/>
      <c r="H147" s="54"/>
      <c r="I147" s="53"/>
      <c r="J147" s="53"/>
      <c r="K147" s="59"/>
      <c r="L147" s="55">
        <v>147</v>
      </c>
      <c r="M147" s="55"/>
      <c r="N147" s="86">
        <v>1</v>
      </c>
      <c r="O147" s="84">
        <v>0</v>
      </c>
    </row>
    <row r="148" spans="1:15" x14ac:dyDescent="0.25">
      <c r="A148" s="85" t="s">
        <v>188</v>
      </c>
      <c r="B148" s="70" t="s">
        <v>217</v>
      </c>
      <c r="C148" s="50"/>
      <c r="D148" s="51"/>
      <c r="E148" s="50"/>
      <c r="F148" s="52"/>
      <c r="G148" s="50"/>
      <c r="H148" s="54"/>
      <c r="I148" s="53"/>
      <c r="J148" s="53"/>
      <c r="K148" s="59"/>
      <c r="L148" s="55">
        <v>148</v>
      </c>
      <c r="M148" s="55"/>
      <c r="N148" s="86">
        <v>1</v>
      </c>
      <c r="O148" s="84">
        <v>0</v>
      </c>
    </row>
    <row r="149" spans="1:15" x14ac:dyDescent="0.25">
      <c r="A149" s="85" t="s">
        <v>188</v>
      </c>
      <c r="B149" s="70" t="s">
        <v>189</v>
      </c>
      <c r="C149" s="50"/>
      <c r="D149" s="51"/>
      <c r="E149" s="50"/>
      <c r="F149" s="52"/>
      <c r="G149" s="50"/>
      <c r="H149" s="54"/>
      <c r="I149" s="53"/>
      <c r="J149" s="53"/>
      <c r="K149" s="59"/>
      <c r="L149" s="55">
        <v>149</v>
      </c>
      <c r="M149" s="55"/>
      <c r="N149" s="86">
        <v>1</v>
      </c>
      <c r="O149" s="84">
        <v>0</v>
      </c>
    </row>
    <row r="150" spans="1:15" x14ac:dyDescent="0.25">
      <c r="A150" s="85" t="s">
        <v>215</v>
      </c>
      <c r="B150" s="70" t="s">
        <v>202</v>
      </c>
      <c r="C150" s="50"/>
      <c r="D150" s="51"/>
      <c r="E150" s="50"/>
      <c r="F150" s="52"/>
      <c r="G150" s="50"/>
      <c r="H150" s="54"/>
      <c r="I150" s="53"/>
      <c r="J150" s="53"/>
      <c r="K150" s="59"/>
      <c r="L150" s="55">
        <v>150</v>
      </c>
      <c r="M150" s="55"/>
      <c r="N150" s="86">
        <v>1</v>
      </c>
      <c r="O150" s="84">
        <v>0</v>
      </c>
    </row>
    <row r="151" spans="1:15" x14ac:dyDescent="0.25">
      <c r="A151" s="85" t="s">
        <v>215</v>
      </c>
      <c r="B151" s="70" t="s">
        <v>192</v>
      </c>
      <c r="C151" s="50"/>
      <c r="D151" s="51"/>
      <c r="E151" s="50"/>
      <c r="F151" s="52"/>
      <c r="G151" s="50"/>
      <c r="H151" s="54"/>
      <c r="I151" s="53"/>
      <c r="J151" s="53"/>
      <c r="K151" s="59"/>
      <c r="L151" s="55">
        <v>151</v>
      </c>
      <c r="M151" s="55"/>
      <c r="N151" s="86">
        <v>1</v>
      </c>
      <c r="O151" s="84">
        <v>0</v>
      </c>
    </row>
    <row r="152" spans="1:15" x14ac:dyDescent="0.25">
      <c r="A152" s="85" t="s">
        <v>215</v>
      </c>
      <c r="B152" s="70" t="s">
        <v>189</v>
      </c>
      <c r="C152" s="50"/>
      <c r="D152" s="51"/>
      <c r="E152" s="50"/>
      <c r="F152" s="52"/>
      <c r="G152" s="50"/>
      <c r="H152" s="54"/>
      <c r="I152" s="53"/>
      <c r="J152" s="53"/>
      <c r="K152" s="59"/>
      <c r="L152" s="55">
        <v>152</v>
      </c>
      <c r="M152" s="55"/>
      <c r="N152" s="86">
        <v>1</v>
      </c>
      <c r="O152" s="84">
        <v>0</v>
      </c>
    </row>
    <row r="153" spans="1:15" x14ac:dyDescent="0.25">
      <c r="A153" s="85" t="s">
        <v>215</v>
      </c>
      <c r="B153" s="70" t="s">
        <v>216</v>
      </c>
      <c r="C153" s="50"/>
      <c r="D153" s="51"/>
      <c r="E153" s="50"/>
      <c r="F153" s="52"/>
      <c r="G153" s="50"/>
      <c r="H153" s="54"/>
      <c r="I153" s="53"/>
      <c r="J153" s="53"/>
      <c r="K153" s="59"/>
      <c r="L153" s="55">
        <v>153</v>
      </c>
      <c r="M153" s="55"/>
      <c r="N153" s="86">
        <v>1</v>
      </c>
      <c r="O153" s="84">
        <v>0</v>
      </c>
    </row>
    <row r="154" spans="1:15" x14ac:dyDescent="0.25">
      <c r="A154" s="85" t="s">
        <v>225</v>
      </c>
      <c r="B154" s="70" t="s">
        <v>213</v>
      </c>
      <c r="C154" s="50"/>
      <c r="D154" s="51"/>
      <c r="E154" s="50"/>
      <c r="F154" s="52"/>
      <c r="G154" s="50"/>
      <c r="H154" s="54"/>
      <c r="I154" s="53"/>
      <c r="J154" s="53"/>
      <c r="K154" s="59"/>
      <c r="L154" s="55">
        <v>154</v>
      </c>
      <c r="M154" s="55"/>
      <c r="N154" s="86">
        <v>1</v>
      </c>
      <c r="O154" s="84">
        <v>0</v>
      </c>
    </row>
    <row r="155" spans="1:15" x14ac:dyDescent="0.25">
      <c r="A155" s="85" t="s">
        <v>225</v>
      </c>
      <c r="B155" s="70" t="s">
        <v>201</v>
      </c>
      <c r="C155" s="50"/>
      <c r="D155" s="51"/>
      <c r="E155" s="50"/>
      <c r="F155" s="52"/>
      <c r="G155" s="50"/>
      <c r="H155" s="54"/>
      <c r="I155" s="53"/>
      <c r="J155" s="53"/>
      <c r="K155" s="59"/>
      <c r="L155" s="55">
        <v>155</v>
      </c>
      <c r="M155" s="55"/>
      <c r="N155" s="86">
        <v>1</v>
      </c>
      <c r="O155" s="84">
        <v>0</v>
      </c>
    </row>
    <row r="156" spans="1:15" x14ac:dyDescent="0.25">
      <c r="A156" s="85" t="s">
        <v>225</v>
      </c>
      <c r="B156" s="70" t="s">
        <v>219</v>
      </c>
      <c r="C156" s="50"/>
      <c r="D156" s="51"/>
      <c r="E156" s="50"/>
      <c r="F156" s="52"/>
      <c r="G156" s="50"/>
      <c r="H156" s="54"/>
      <c r="I156" s="53"/>
      <c r="J156" s="53"/>
      <c r="K156" s="59"/>
      <c r="L156" s="55">
        <v>156</v>
      </c>
      <c r="M156" s="55"/>
      <c r="N156" s="86">
        <v>1</v>
      </c>
      <c r="O156" s="84">
        <v>0</v>
      </c>
    </row>
    <row r="157" spans="1:15" x14ac:dyDescent="0.25">
      <c r="A157" s="85" t="s">
        <v>225</v>
      </c>
      <c r="B157" s="70" t="s">
        <v>224</v>
      </c>
      <c r="C157" s="50"/>
      <c r="D157" s="51"/>
      <c r="E157" s="50"/>
      <c r="F157" s="52"/>
      <c r="G157" s="50"/>
      <c r="H157" s="54"/>
      <c r="I157" s="53"/>
      <c r="J157" s="53"/>
      <c r="K157" s="59"/>
      <c r="L157" s="55">
        <v>157</v>
      </c>
      <c r="M157" s="55"/>
      <c r="N157" s="86">
        <v>1</v>
      </c>
      <c r="O157" s="84">
        <v>0</v>
      </c>
    </row>
    <row r="158" spans="1:15" x14ac:dyDescent="0.25">
      <c r="A158" s="85" t="s">
        <v>225</v>
      </c>
      <c r="B158" s="70" t="s">
        <v>220</v>
      </c>
      <c r="C158" s="50"/>
      <c r="D158" s="51"/>
      <c r="E158" s="50"/>
      <c r="F158" s="52"/>
      <c r="G158" s="50"/>
      <c r="H158" s="54"/>
      <c r="I158" s="53"/>
      <c r="J158" s="53"/>
      <c r="K158" s="59"/>
      <c r="L158" s="55">
        <v>158</v>
      </c>
      <c r="M158" s="55"/>
      <c r="N158" s="86">
        <v>1</v>
      </c>
      <c r="O158" s="84">
        <v>0</v>
      </c>
    </row>
    <row r="159" spans="1:15" x14ac:dyDescent="0.25">
      <c r="A159" s="85" t="s">
        <v>189</v>
      </c>
      <c r="B159" s="70" t="s">
        <v>212</v>
      </c>
      <c r="C159" s="50"/>
      <c r="D159" s="51"/>
      <c r="E159" s="50"/>
      <c r="F159" s="52"/>
      <c r="G159" s="50"/>
      <c r="H159" s="54"/>
      <c r="I159" s="53"/>
      <c r="J159" s="53"/>
      <c r="K159" s="59"/>
      <c r="L159" s="55">
        <v>159</v>
      </c>
      <c r="M159" s="55"/>
      <c r="N159" s="86">
        <v>1</v>
      </c>
      <c r="O159" s="84">
        <v>0</v>
      </c>
    </row>
    <row r="160" spans="1:15" x14ac:dyDescent="0.25">
      <c r="A160" s="85" t="s">
        <v>189</v>
      </c>
      <c r="B160" s="70" t="s">
        <v>190</v>
      </c>
      <c r="C160" s="50"/>
      <c r="D160" s="51"/>
      <c r="E160" s="50"/>
      <c r="F160" s="52"/>
      <c r="G160" s="50"/>
      <c r="H160" s="54"/>
      <c r="I160" s="53"/>
      <c r="J160" s="53"/>
      <c r="K160" s="59"/>
      <c r="L160" s="55">
        <v>160</v>
      </c>
      <c r="M160" s="55"/>
      <c r="N160" s="86">
        <v>1</v>
      </c>
      <c r="O160" s="84">
        <v>0</v>
      </c>
    </row>
    <row r="161" spans="1:15" x14ac:dyDescent="0.25">
      <c r="A161" s="85" t="s">
        <v>189</v>
      </c>
      <c r="B161" s="70" t="s">
        <v>217</v>
      </c>
      <c r="C161" s="50"/>
      <c r="D161" s="51"/>
      <c r="E161" s="50"/>
      <c r="F161" s="52"/>
      <c r="G161" s="50"/>
      <c r="H161" s="54"/>
      <c r="I161" s="53"/>
      <c r="J161" s="53"/>
      <c r="K161" s="59"/>
      <c r="L161" s="55">
        <v>161</v>
      </c>
      <c r="M161" s="55"/>
      <c r="N161" s="86">
        <v>1</v>
      </c>
      <c r="O161" s="84">
        <v>0</v>
      </c>
    </row>
    <row r="162" spans="1:15" x14ac:dyDescent="0.25">
      <c r="A162" s="85" t="s">
        <v>189</v>
      </c>
      <c r="B162" s="70" t="s">
        <v>229</v>
      </c>
      <c r="C162" s="50"/>
      <c r="D162" s="51"/>
      <c r="E162" s="50"/>
      <c r="F162" s="52"/>
      <c r="G162" s="50"/>
      <c r="H162" s="54"/>
      <c r="I162" s="53"/>
      <c r="J162" s="53"/>
      <c r="K162" s="59"/>
      <c r="L162" s="55">
        <v>162</v>
      </c>
      <c r="M162" s="55"/>
      <c r="N162" s="86">
        <v>1</v>
      </c>
      <c r="O162" s="84">
        <v>0</v>
      </c>
    </row>
    <row r="163" spans="1:15" x14ac:dyDescent="0.25">
      <c r="A163" s="85" t="s">
        <v>189</v>
      </c>
      <c r="B163" s="70" t="s">
        <v>192</v>
      </c>
      <c r="C163" s="50"/>
      <c r="D163" s="51"/>
      <c r="E163" s="50"/>
      <c r="F163" s="52"/>
      <c r="G163" s="50"/>
      <c r="H163" s="54"/>
      <c r="I163" s="53"/>
      <c r="J163" s="53"/>
      <c r="K163" s="59"/>
      <c r="L163" s="55">
        <v>163</v>
      </c>
      <c r="M163" s="55"/>
      <c r="N163" s="86">
        <v>1</v>
      </c>
      <c r="O163" s="84">
        <v>0</v>
      </c>
    </row>
    <row r="164" spans="1:15" x14ac:dyDescent="0.25">
      <c r="A164" s="85" t="s">
        <v>189</v>
      </c>
      <c r="B164" s="70" t="s">
        <v>188</v>
      </c>
      <c r="C164" s="50"/>
      <c r="D164" s="51"/>
      <c r="E164" s="50"/>
      <c r="F164" s="52"/>
      <c r="G164" s="50"/>
      <c r="H164" s="54"/>
      <c r="I164" s="53"/>
      <c r="J164" s="53"/>
      <c r="K164" s="59"/>
      <c r="L164" s="55">
        <v>164</v>
      </c>
      <c r="M164" s="55"/>
      <c r="N164" s="86">
        <v>1</v>
      </c>
      <c r="O164" s="84">
        <v>0</v>
      </c>
    </row>
    <row r="165" spans="1:15" x14ac:dyDescent="0.25">
      <c r="A165" s="85" t="s">
        <v>189</v>
      </c>
      <c r="B165" s="70" t="s">
        <v>196</v>
      </c>
      <c r="C165" s="50"/>
      <c r="D165" s="51"/>
      <c r="E165" s="50"/>
      <c r="F165" s="52"/>
      <c r="G165" s="50"/>
      <c r="H165" s="54"/>
      <c r="I165" s="53"/>
      <c r="J165" s="53"/>
      <c r="K165" s="59"/>
      <c r="L165" s="55">
        <v>165</v>
      </c>
      <c r="M165" s="55"/>
      <c r="N165" s="86">
        <v>1</v>
      </c>
      <c r="O165" s="84">
        <v>0</v>
      </c>
    </row>
    <row r="166" spans="1:15" x14ac:dyDescent="0.25">
      <c r="A166" s="85" t="s">
        <v>189</v>
      </c>
      <c r="B166" s="70" t="s">
        <v>215</v>
      </c>
      <c r="C166" s="50"/>
      <c r="D166" s="51"/>
      <c r="E166" s="50"/>
      <c r="F166" s="52"/>
      <c r="G166" s="50"/>
      <c r="H166" s="54"/>
      <c r="I166" s="53"/>
      <c r="J166" s="53"/>
      <c r="K166" s="59"/>
      <c r="L166" s="55">
        <v>166</v>
      </c>
      <c r="M166" s="55"/>
      <c r="N166" s="86">
        <v>1</v>
      </c>
      <c r="O166" s="84">
        <v>0</v>
      </c>
    </row>
    <row r="167" spans="1:15" x14ac:dyDescent="0.25">
      <c r="A167" s="85" t="s">
        <v>189</v>
      </c>
      <c r="B167" s="70" t="s">
        <v>193</v>
      </c>
      <c r="C167" s="50"/>
      <c r="D167" s="51"/>
      <c r="E167" s="50"/>
      <c r="F167" s="52"/>
      <c r="G167" s="50"/>
      <c r="H167" s="54"/>
      <c r="I167" s="53"/>
      <c r="J167" s="53"/>
      <c r="K167" s="59"/>
      <c r="L167" s="55">
        <v>167</v>
      </c>
      <c r="M167" s="55"/>
      <c r="N167" s="86">
        <v>1</v>
      </c>
      <c r="O167" s="84">
        <v>0</v>
      </c>
    </row>
    <row r="168" spans="1:15" x14ac:dyDescent="0.25">
      <c r="A168" s="85" t="s">
        <v>189</v>
      </c>
      <c r="B168" s="70" t="s">
        <v>194</v>
      </c>
      <c r="C168" s="50"/>
      <c r="D168" s="51"/>
      <c r="E168" s="50"/>
      <c r="F168" s="52"/>
      <c r="G168" s="50"/>
      <c r="H168" s="54"/>
      <c r="I168" s="53"/>
      <c r="J168" s="53"/>
      <c r="K168" s="59"/>
      <c r="L168" s="55">
        <v>168</v>
      </c>
      <c r="M168" s="55"/>
      <c r="N168" s="86">
        <v>1</v>
      </c>
      <c r="O168" s="89">
        <v>1</v>
      </c>
    </row>
    <row r="169" spans="1:15" x14ac:dyDescent="0.25">
      <c r="A169" s="85" t="s">
        <v>189</v>
      </c>
      <c r="B169" s="70" t="s">
        <v>198</v>
      </c>
      <c r="C169" s="50"/>
      <c r="D169" s="51"/>
      <c r="E169" s="50"/>
      <c r="F169" s="52"/>
      <c r="G169" s="50"/>
      <c r="H169" s="54"/>
      <c r="I169" s="53"/>
      <c r="J169" s="53"/>
      <c r="K169" s="59"/>
      <c r="L169" s="55">
        <v>169</v>
      </c>
      <c r="M169" s="55"/>
      <c r="N169" s="86">
        <v>1</v>
      </c>
      <c r="O169" s="84">
        <v>0</v>
      </c>
    </row>
    <row r="170" spans="1:15" x14ac:dyDescent="0.25">
      <c r="A170" s="85" t="s">
        <v>193</v>
      </c>
      <c r="B170" s="70" t="s">
        <v>218</v>
      </c>
      <c r="C170" s="50"/>
      <c r="D170" s="51"/>
      <c r="E170" s="50"/>
      <c r="F170" s="52"/>
      <c r="G170" s="50"/>
      <c r="H170" s="54"/>
      <c r="I170" s="53"/>
      <c r="J170" s="53"/>
      <c r="K170" s="59"/>
      <c r="L170" s="55">
        <v>170</v>
      </c>
      <c r="M170" s="55"/>
      <c r="N170" s="86">
        <v>1</v>
      </c>
      <c r="O170" s="84">
        <v>0</v>
      </c>
    </row>
    <row r="171" spans="1:15" x14ac:dyDescent="0.25">
      <c r="A171" s="85" t="s">
        <v>193</v>
      </c>
      <c r="B171" s="70" t="s">
        <v>191</v>
      </c>
      <c r="C171" s="50"/>
      <c r="D171" s="51"/>
      <c r="E171" s="50"/>
      <c r="F171" s="52"/>
      <c r="G171" s="50"/>
      <c r="H171" s="54"/>
      <c r="I171" s="53"/>
      <c r="J171" s="53"/>
      <c r="K171" s="59"/>
      <c r="L171" s="55">
        <v>171</v>
      </c>
      <c r="M171" s="55"/>
      <c r="N171" s="86">
        <v>1</v>
      </c>
      <c r="O171" s="84">
        <v>0</v>
      </c>
    </row>
    <row r="172" spans="1:15" x14ac:dyDescent="0.25">
      <c r="A172" s="85" t="s">
        <v>193</v>
      </c>
      <c r="B172" s="70" t="s">
        <v>192</v>
      </c>
      <c r="C172" s="50"/>
      <c r="D172" s="51"/>
      <c r="E172" s="50"/>
      <c r="F172" s="52"/>
      <c r="G172" s="50"/>
      <c r="H172" s="54"/>
      <c r="I172" s="53"/>
      <c r="J172" s="53"/>
      <c r="K172" s="59"/>
      <c r="L172" s="55">
        <v>172</v>
      </c>
      <c r="M172" s="55"/>
      <c r="N172" s="86">
        <v>1</v>
      </c>
      <c r="O172" s="84">
        <v>0</v>
      </c>
    </row>
    <row r="173" spans="1:15" x14ac:dyDescent="0.25">
      <c r="A173" s="85" t="s">
        <v>193</v>
      </c>
      <c r="B173" s="70" t="s">
        <v>196</v>
      </c>
      <c r="C173" s="50"/>
      <c r="D173" s="51"/>
      <c r="E173" s="50"/>
      <c r="F173" s="52"/>
      <c r="G173" s="50"/>
      <c r="H173" s="54"/>
      <c r="I173" s="53"/>
      <c r="J173" s="53"/>
      <c r="K173" s="59"/>
      <c r="L173" s="55">
        <v>173</v>
      </c>
      <c r="M173" s="55"/>
      <c r="N173" s="86">
        <v>1</v>
      </c>
      <c r="O173" s="84">
        <v>0</v>
      </c>
    </row>
    <row r="174" spans="1:15" x14ac:dyDescent="0.25">
      <c r="A174" s="85" t="s">
        <v>193</v>
      </c>
      <c r="B174" s="70" t="s">
        <v>189</v>
      </c>
      <c r="C174" s="50"/>
      <c r="D174" s="51"/>
      <c r="E174" s="50"/>
      <c r="F174" s="52"/>
      <c r="G174" s="50"/>
      <c r="H174" s="54"/>
      <c r="I174" s="53"/>
      <c r="J174" s="53"/>
      <c r="K174" s="59"/>
      <c r="L174" s="55">
        <v>174</v>
      </c>
      <c r="M174" s="55"/>
      <c r="N174" s="86">
        <v>1</v>
      </c>
      <c r="O174" s="84">
        <v>0</v>
      </c>
    </row>
    <row r="175" spans="1:15" x14ac:dyDescent="0.25">
      <c r="A175" s="85" t="s">
        <v>193</v>
      </c>
      <c r="B175" s="70" t="s">
        <v>216</v>
      </c>
      <c r="C175" s="50"/>
      <c r="D175" s="51"/>
      <c r="E175" s="50"/>
      <c r="F175" s="52"/>
      <c r="G175" s="50"/>
      <c r="H175" s="54"/>
      <c r="I175" s="53"/>
      <c r="J175" s="53"/>
      <c r="K175" s="59"/>
      <c r="L175" s="55">
        <v>175</v>
      </c>
      <c r="M175" s="55"/>
      <c r="N175" s="86">
        <v>1</v>
      </c>
      <c r="O175" s="84">
        <v>0</v>
      </c>
    </row>
    <row r="176" spans="1:15" x14ac:dyDescent="0.25">
      <c r="A176" s="85" t="s">
        <v>193</v>
      </c>
      <c r="B176" s="70" t="s">
        <v>194</v>
      </c>
      <c r="C176" s="50"/>
      <c r="D176" s="51"/>
      <c r="E176" s="50"/>
      <c r="F176" s="52"/>
      <c r="G176" s="50"/>
      <c r="H176" s="54"/>
      <c r="I176" s="53"/>
      <c r="J176" s="53"/>
      <c r="K176" s="59"/>
      <c r="L176" s="55">
        <v>176</v>
      </c>
      <c r="M176" s="55"/>
      <c r="N176" s="86">
        <v>1</v>
      </c>
      <c r="O176" s="84">
        <v>0</v>
      </c>
    </row>
    <row r="177" spans="1:15" x14ac:dyDescent="0.25">
      <c r="A177" s="85" t="s">
        <v>193</v>
      </c>
      <c r="B177" s="70" t="s">
        <v>198</v>
      </c>
      <c r="C177" s="50"/>
      <c r="D177" s="51"/>
      <c r="E177" s="50"/>
      <c r="F177" s="52"/>
      <c r="G177" s="50"/>
      <c r="H177" s="54"/>
      <c r="I177" s="53"/>
      <c r="J177" s="53"/>
      <c r="K177" s="59"/>
      <c r="L177" s="55">
        <v>177</v>
      </c>
      <c r="M177" s="55"/>
      <c r="N177" s="86">
        <v>1</v>
      </c>
      <c r="O177" s="84">
        <v>0</v>
      </c>
    </row>
    <row r="178" spans="1:15" x14ac:dyDescent="0.25">
      <c r="A178" s="85" t="s">
        <v>211</v>
      </c>
      <c r="B178" s="70" t="s">
        <v>201</v>
      </c>
      <c r="C178" s="50"/>
      <c r="D178" s="51"/>
      <c r="E178" s="50"/>
      <c r="F178" s="52"/>
      <c r="G178" s="50"/>
      <c r="H178" s="54"/>
      <c r="I178" s="53"/>
      <c r="J178" s="53"/>
      <c r="K178" s="59"/>
      <c r="L178" s="55">
        <v>178</v>
      </c>
      <c r="M178" s="55"/>
      <c r="N178" s="86">
        <v>1</v>
      </c>
      <c r="O178" s="89">
        <v>1</v>
      </c>
    </row>
    <row r="179" spans="1:15" x14ac:dyDescent="0.25">
      <c r="A179" s="85" t="s">
        <v>211</v>
      </c>
      <c r="B179" s="70" t="s">
        <v>197</v>
      </c>
      <c r="C179" s="50"/>
      <c r="D179" s="51"/>
      <c r="E179" s="50"/>
      <c r="F179" s="52"/>
      <c r="G179" s="50"/>
      <c r="H179" s="54"/>
      <c r="I179" s="53"/>
      <c r="J179" s="53"/>
      <c r="K179" s="59"/>
      <c r="L179" s="55">
        <v>179</v>
      </c>
      <c r="M179" s="55"/>
      <c r="N179" s="86">
        <v>1</v>
      </c>
      <c r="O179" s="84">
        <v>0</v>
      </c>
    </row>
    <row r="180" spans="1:15" x14ac:dyDescent="0.25">
      <c r="A180" s="85" t="s">
        <v>211</v>
      </c>
      <c r="B180" s="70" t="s">
        <v>202</v>
      </c>
      <c r="C180" s="50"/>
      <c r="D180" s="51"/>
      <c r="E180" s="50"/>
      <c r="F180" s="52"/>
      <c r="G180" s="50"/>
      <c r="H180" s="54"/>
      <c r="I180" s="53"/>
      <c r="J180" s="53"/>
      <c r="K180" s="59"/>
      <c r="L180" s="55">
        <v>180</v>
      </c>
      <c r="M180" s="55"/>
      <c r="N180" s="86">
        <v>1</v>
      </c>
      <c r="O180" s="89">
        <v>1</v>
      </c>
    </row>
    <row r="181" spans="1:15" x14ac:dyDescent="0.25">
      <c r="A181" s="85" t="s">
        <v>211</v>
      </c>
      <c r="B181" s="70" t="s">
        <v>210</v>
      </c>
      <c r="C181" s="50"/>
      <c r="D181" s="51"/>
      <c r="E181" s="50"/>
      <c r="F181" s="52"/>
      <c r="G181" s="50"/>
      <c r="H181" s="54"/>
      <c r="I181" s="53"/>
      <c r="J181" s="53"/>
      <c r="K181" s="59"/>
      <c r="L181" s="55">
        <v>181</v>
      </c>
      <c r="M181" s="55"/>
      <c r="N181" s="86">
        <v>1</v>
      </c>
      <c r="O181" s="84">
        <v>0</v>
      </c>
    </row>
    <row r="182" spans="1:15" x14ac:dyDescent="0.25">
      <c r="A182" s="85" t="s">
        <v>211</v>
      </c>
      <c r="B182" s="70" t="s">
        <v>223</v>
      </c>
      <c r="C182" s="50"/>
      <c r="D182" s="51"/>
      <c r="E182" s="50"/>
      <c r="F182" s="52"/>
      <c r="G182" s="50"/>
      <c r="H182" s="54"/>
      <c r="I182" s="53"/>
      <c r="J182" s="53"/>
      <c r="K182" s="59"/>
      <c r="L182" s="55">
        <v>182</v>
      </c>
      <c r="M182" s="55"/>
      <c r="N182" s="86">
        <v>1</v>
      </c>
      <c r="O182" s="84">
        <v>0</v>
      </c>
    </row>
    <row r="183" spans="1:15" x14ac:dyDescent="0.25">
      <c r="A183" s="85" t="s">
        <v>211</v>
      </c>
      <c r="B183" s="70" t="s">
        <v>195</v>
      </c>
      <c r="C183" s="50"/>
      <c r="D183" s="51"/>
      <c r="E183" s="50"/>
      <c r="F183" s="52"/>
      <c r="G183" s="50"/>
      <c r="H183" s="54"/>
      <c r="I183" s="53"/>
      <c r="J183" s="53"/>
      <c r="K183" s="59"/>
      <c r="L183" s="55">
        <v>183</v>
      </c>
      <c r="M183" s="55"/>
      <c r="N183" s="86">
        <v>1</v>
      </c>
      <c r="O183" s="84">
        <v>0</v>
      </c>
    </row>
    <row r="184" spans="1:15" x14ac:dyDescent="0.25">
      <c r="A184" s="85" t="s">
        <v>211</v>
      </c>
      <c r="B184" s="70" t="s">
        <v>207</v>
      </c>
      <c r="C184" s="50"/>
      <c r="D184" s="51"/>
      <c r="E184" s="50"/>
      <c r="F184" s="52"/>
      <c r="G184" s="50"/>
      <c r="H184" s="54"/>
      <c r="I184" s="53"/>
      <c r="J184" s="53"/>
      <c r="K184" s="59"/>
      <c r="L184" s="55">
        <v>184</v>
      </c>
      <c r="M184" s="55"/>
      <c r="N184" s="86">
        <v>1</v>
      </c>
      <c r="O184" s="89">
        <v>1</v>
      </c>
    </row>
    <row r="185" spans="1:15" x14ac:dyDescent="0.25">
      <c r="A185" s="85" t="s">
        <v>211</v>
      </c>
      <c r="B185" s="70" t="s">
        <v>200</v>
      </c>
      <c r="C185" s="50"/>
      <c r="D185" s="51"/>
      <c r="E185" s="50"/>
      <c r="F185" s="52"/>
      <c r="G185" s="50"/>
      <c r="H185" s="54"/>
      <c r="I185" s="53"/>
      <c r="J185" s="53"/>
      <c r="K185" s="59"/>
      <c r="L185" s="55">
        <v>185</v>
      </c>
      <c r="M185" s="55"/>
      <c r="N185" s="86">
        <v>1</v>
      </c>
      <c r="O185" s="84">
        <v>0</v>
      </c>
    </row>
    <row r="186" spans="1:15" x14ac:dyDescent="0.25">
      <c r="A186" s="85" t="s">
        <v>211</v>
      </c>
      <c r="B186" s="70" t="s">
        <v>209</v>
      </c>
      <c r="C186" s="50"/>
      <c r="D186" s="51"/>
      <c r="E186" s="50"/>
      <c r="F186" s="52"/>
      <c r="G186" s="50"/>
      <c r="H186" s="54"/>
      <c r="I186" s="53"/>
      <c r="J186" s="53"/>
      <c r="K186" s="59"/>
      <c r="L186" s="55">
        <v>186</v>
      </c>
      <c r="M186" s="55"/>
      <c r="N186" s="86">
        <v>1</v>
      </c>
      <c r="O186" s="89">
        <v>1</v>
      </c>
    </row>
    <row r="187" spans="1:15" x14ac:dyDescent="0.25">
      <c r="A187" s="85" t="s">
        <v>207</v>
      </c>
      <c r="B187" s="70" t="s">
        <v>205</v>
      </c>
      <c r="C187" s="50"/>
      <c r="D187" s="51"/>
      <c r="E187" s="50"/>
      <c r="F187" s="52"/>
      <c r="G187" s="50"/>
      <c r="H187" s="54"/>
      <c r="I187" s="53"/>
      <c r="J187" s="53"/>
      <c r="K187" s="59"/>
      <c r="L187" s="55">
        <v>187</v>
      </c>
      <c r="M187" s="55"/>
      <c r="N187" s="86">
        <v>1</v>
      </c>
      <c r="O187" s="89">
        <v>1</v>
      </c>
    </row>
    <row r="188" spans="1:15" x14ac:dyDescent="0.25">
      <c r="A188" s="85" t="s">
        <v>207</v>
      </c>
      <c r="B188" s="70" t="s">
        <v>201</v>
      </c>
      <c r="C188" s="50"/>
      <c r="D188" s="51"/>
      <c r="E188" s="50"/>
      <c r="F188" s="52"/>
      <c r="G188" s="50"/>
      <c r="H188" s="54"/>
      <c r="I188" s="53"/>
      <c r="J188" s="53"/>
      <c r="K188" s="59"/>
      <c r="L188" s="55">
        <v>188</v>
      </c>
      <c r="M188" s="55"/>
      <c r="N188" s="86">
        <v>1</v>
      </c>
      <c r="O188" s="89">
        <v>1</v>
      </c>
    </row>
    <row r="189" spans="1:15" x14ac:dyDescent="0.25">
      <c r="A189" s="85" t="s">
        <v>207</v>
      </c>
      <c r="B189" s="70" t="s">
        <v>202</v>
      </c>
      <c r="C189" s="50"/>
      <c r="D189" s="51"/>
      <c r="E189" s="50"/>
      <c r="F189" s="52"/>
      <c r="G189" s="50"/>
      <c r="H189" s="54"/>
      <c r="I189" s="53"/>
      <c r="J189" s="53"/>
      <c r="K189" s="59"/>
      <c r="L189" s="55">
        <v>189</v>
      </c>
      <c r="M189" s="55"/>
      <c r="N189" s="86">
        <v>1</v>
      </c>
      <c r="O189" s="84">
        <v>0</v>
      </c>
    </row>
    <row r="190" spans="1:15" x14ac:dyDescent="0.25">
      <c r="A190" s="85" t="s">
        <v>207</v>
      </c>
      <c r="B190" s="70" t="s">
        <v>210</v>
      </c>
      <c r="C190" s="50"/>
      <c r="D190" s="51"/>
      <c r="E190" s="50"/>
      <c r="F190" s="52"/>
      <c r="G190" s="50"/>
      <c r="H190" s="54"/>
      <c r="I190" s="53"/>
      <c r="J190" s="53"/>
      <c r="K190" s="59"/>
      <c r="L190" s="55">
        <v>190</v>
      </c>
      <c r="M190" s="55"/>
      <c r="N190" s="86">
        <v>1</v>
      </c>
      <c r="O190" s="84">
        <v>0</v>
      </c>
    </row>
    <row r="191" spans="1:15" x14ac:dyDescent="0.25">
      <c r="A191" s="85" t="s">
        <v>207</v>
      </c>
      <c r="B191" s="70" t="s">
        <v>219</v>
      </c>
      <c r="C191" s="50"/>
      <c r="D191" s="51"/>
      <c r="E191" s="50"/>
      <c r="F191" s="52"/>
      <c r="G191" s="50"/>
      <c r="H191" s="54"/>
      <c r="I191" s="53"/>
      <c r="J191" s="53"/>
      <c r="K191" s="59"/>
      <c r="L191" s="55">
        <v>191</v>
      </c>
      <c r="M191" s="55"/>
      <c r="N191" s="86">
        <v>1</v>
      </c>
      <c r="O191" s="84">
        <v>0</v>
      </c>
    </row>
    <row r="192" spans="1:15" x14ac:dyDescent="0.25">
      <c r="A192" s="85" t="s">
        <v>207</v>
      </c>
      <c r="B192" s="70" t="s">
        <v>211</v>
      </c>
      <c r="C192" s="50"/>
      <c r="D192" s="51"/>
      <c r="E192" s="50"/>
      <c r="F192" s="52"/>
      <c r="G192" s="50"/>
      <c r="H192" s="54"/>
      <c r="I192" s="53"/>
      <c r="J192" s="53"/>
      <c r="K192" s="59"/>
      <c r="L192" s="55">
        <v>192</v>
      </c>
      <c r="M192" s="55"/>
      <c r="N192" s="86">
        <v>1</v>
      </c>
      <c r="O192" s="84">
        <v>0</v>
      </c>
    </row>
    <row r="193" spans="1:15" x14ac:dyDescent="0.25">
      <c r="A193" s="85" t="s">
        <v>207</v>
      </c>
      <c r="B193" s="70" t="s">
        <v>200</v>
      </c>
      <c r="C193" s="50"/>
      <c r="D193" s="51"/>
      <c r="E193" s="50"/>
      <c r="F193" s="52"/>
      <c r="G193" s="50"/>
      <c r="H193" s="54"/>
      <c r="I193" s="53"/>
      <c r="J193" s="53"/>
      <c r="K193" s="59"/>
      <c r="L193" s="55">
        <v>193</v>
      </c>
      <c r="M193" s="55"/>
      <c r="N193" s="86">
        <v>1</v>
      </c>
      <c r="O193" s="84">
        <v>0</v>
      </c>
    </row>
    <row r="194" spans="1:15" x14ac:dyDescent="0.25">
      <c r="A194" s="85" t="s">
        <v>207</v>
      </c>
      <c r="B194" s="70" t="s">
        <v>209</v>
      </c>
      <c r="C194" s="50"/>
      <c r="D194" s="51"/>
      <c r="E194" s="50"/>
      <c r="F194" s="52"/>
      <c r="G194" s="50"/>
      <c r="H194" s="54"/>
      <c r="I194" s="53"/>
      <c r="J194" s="53"/>
      <c r="K194" s="59"/>
      <c r="L194" s="55">
        <v>194</v>
      </c>
      <c r="M194" s="55"/>
      <c r="N194" s="86">
        <v>1</v>
      </c>
      <c r="O194" s="89">
        <v>1</v>
      </c>
    </row>
    <row r="195" spans="1:15" x14ac:dyDescent="0.25">
      <c r="A195" s="85" t="s">
        <v>220</v>
      </c>
      <c r="B195" s="70" t="s">
        <v>206</v>
      </c>
      <c r="C195" s="50"/>
      <c r="D195" s="51"/>
      <c r="E195" s="50"/>
      <c r="F195" s="52"/>
      <c r="G195" s="50"/>
      <c r="H195" s="54"/>
      <c r="I195" s="53"/>
      <c r="J195" s="53"/>
      <c r="K195" s="59"/>
      <c r="L195" s="55">
        <v>195</v>
      </c>
      <c r="M195" s="55"/>
      <c r="N195" s="86">
        <v>1</v>
      </c>
      <c r="O195" s="89">
        <v>1</v>
      </c>
    </row>
    <row r="196" spans="1:15" x14ac:dyDescent="0.25">
      <c r="A196" s="85" t="s">
        <v>216</v>
      </c>
      <c r="B196" s="70" t="s">
        <v>208</v>
      </c>
      <c r="C196" s="50"/>
      <c r="D196" s="51"/>
      <c r="E196" s="50"/>
      <c r="F196" s="52"/>
      <c r="G196" s="50"/>
      <c r="H196" s="54"/>
      <c r="I196" s="53"/>
      <c r="J196" s="53"/>
      <c r="K196" s="59"/>
      <c r="L196" s="55">
        <v>196</v>
      </c>
      <c r="M196" s="55"/>
      <c r="N196" s="86">
        <v>1</v>
      </c>
      <c r="O196" s="84">
        <v>0</v>
      </c>
    </row>
    <row r="197" spans="1:15" x14ac:dyDescent="0.25">
      <c r="A197" s="85" t="s">
        <v>216</v>
      </c>
      <c r="B197" s="70" t="s">
        <v>231</v>
      </c>
      <c r="C197" s="50"/>
      <c r="D197" s="51"/>
      <c r="E197" s="50"/>
      <c r="F197" s="52"/>
      <c r="G197" s="50"/>
      <c r="H197" s="54"/>
      <c r="I197" s="53"/>
      <c r="J197" s="53"/>
      <c r="K197" s="59"/>
      <c r="L197" s="55">
        <v>197</v>
      </c>
      <c r="M197" s="55"/>
      <c r="N197" s="86">
        <v>1</v>
      </c>
      <c r="O197" s="84">
        <v>0</v>
      </c>
    </row>
    <row r="198" spans="1:15" x14ac:dyDescent="0.25">
      <c r="A198" s="85" t="s">
        <v>216</v>
      </c>
      <c r="B198" s="70" t="s">
        <v>195</v>
      </c>
      <c r="C198" s="50"/>
      <c r="D198" s="51"/>
      <c r="E198" s="50"/>
      <c r="F198" s="52"/>
      <c r="G198" s="50"/>
      <c r="H198" s="54"/>
      <c r="I198" s="53"/>
      <c r="J198" s="53"/>
      <c r="K198" s="59"/>
      <c r="L198" s="55">
        <v>198</v>
      </c>
      <c r="M198" s="55"/>
      <c r="N198" s="86">
        <v>1</v>
      </c>
      <c r="O198" s="84">
        <v>0</v>
      </c>
    </row>
    <row r="199" spans="1:15" x14ac:dyDescent="0.25">
      <c r="A199" s="85" t="s">
        <v>216</v>
      </c>
      <c r="B199" s="70" t="s">
        <v>215</v>
      </c>
      <c r="C199" s="50"/>
      <c r="D199" s="51"/>
      <c r="E199" s="50"/>
      <c r="F199" s="52"/>
      <c r="G199" s="50"/>
      <c r="H199" s="54"/>
      <c r="I199" s="53"/>
      <c r="J199" s="53"/>
      <c r="K199" s="59"/>
      <c r="L199" s="55">
        <v>199</v>
      </c>
      <c r="M199" s="55"/>
      <c r="N199" s="86">
        <v>1</v>
      </c>
      <c r="O199" s="84">
        <v>0</v>
      </c>
    </row>
    <row r="200" spans="1:15" x14ac:dyDescent="0.25">
      <c r="A200" s="85" t="s">
        <v>216</v>
      </c>
      <c r="B200" s="70" t="s">
        <v>193</v>
      </c>
      <c r="C200" s="50"/>
      <c r="D200" s="51"/>
      <c r="E200" s="50"/>
      <c r="F200" s="52"/>
      <c r="G200" s="50"/>
      <c r="H200" s="54"/>
      <c r="I200" s="53"/>
      <c r="J200" s="53"/>
      <c r="K200" s="59"/>
      <c r="L200" s="55">
        <v>200</v>
      </c>
      <c r="M200" s="55"/>
      <c r="N200" s="86">
        <v>1</v>
      </c>
      <c r="O200" s="84">
        <v>0</v>
      </c>
    </row>
    <row r="201" spans="1:15" x14ac:dyDescent="0.25">
      <c r="A201" s="85" t="s">
        <v>216</v>
      </c>
      <c r="B201" s="70" t="s">
        <v>194</v>
      </c>
      <c r="C201" s="50"/>
      <c r="D201" s="51"/>
      <c r="E201" s="50"/>
      <c r="F201" s="52"/>
      <c r="G201" s="50"/>
      <c r="H201" s="54"/>
      <c r="I201" s="53"/>
      <c r="J201" s="53"/>
      <c r="K201" s="59"/>
      <c r="L201" s="55">
        <v>201</v>
      </c>
      <c r="M201" s="55"/>
      <c r="N201" s="86">
        <v>1</v>
      </c>
      <c r="O201" s="84">
        <v>0</v>
      </c>
    </row>
    <row r="202" spans="1:15" x14ac:dyDescent="0.25">
      <c r="A202" s="85" t="s">
        <v>226</v>
      </c>
      <c r="B202" s="70" t="s">
        <v>197</v>
      </c>
      <c r="C202" s="50"/>
      <c r="D202" s="51"/>
      <c r="E202" s="50"/>
      <c r="F202" s="52"/>
      <c r="G202" s="50"/>
      <c r="H202" s="54"/>
      <c r="I202" s="53"/>
      <c r="J202" s="53"/>
      <c r="K202" s="59"/>
      <c r="L202" s="55">
        <v>202</v>
      </c>
      <c r="M202" s="55"/>
      <c r="N202" s="86">
        <v>1</v>
      </c>
      <c r="O202" s="84">
        <v>0</v>
      </c>
    </row>
    <row r="203" spans="1:15" x14ac:dyDescent="0.25">
      <c r="A203" s="85" t="s">
        <v>226</v>
      </c>
      <c r="B203" s="70" t="s">
        <v>199</v>
      </c>
      <c r="C203" s="50"/>
      <c r="D203" s="51"/>
      <c r="E203" s="50"/>
      <c r="F203" s="52"/>
      <c r="G203" s="50"/>
      <c r="H203" s="54"/>
      <c r="I203" s="53"/>
      <c r="J203" s="53"/>
      <c r="K203" s="59"/>
      <c r="L203" s="55">
        <v>203</v>
      </c>
      <c r="M203" s="55"/>
      <c r="N203" s="86">
        <v>1</v>
      </c>
      <c r="O203" s="84">
        <v>0</v>
      </c>
    </row>
    <row r="204" spans="1:15" x14ac:dyDescent="0.25">
      <c r="A204" s="85" t="s">
        <v>194</v>
      </c>
      <c r="B204" s="70" t="s">
        <v>218</v>
      </c>
      <c r="C204" s="50"/>
      <c r="D204" s="51"/>
      <c r="E204" s="50"/>
      <c r="F204" s="52"/>
      <c r="G204" s="50"/>
      <c r="H204" s="54"/>
      <c r="I204" s="53"/>
      <c r="J204" s="53"/>
      <c r="K204" s="59"/>
      <c r="L204" s="55">
        <v>204</v>
      </c>
      <c r="M204" s="55"/>
      <c r="N204" s="86">
        <v>1</v>
      </c>
      <c r="O204" s="84">
        <v>0</v>
      </c>
    </row>
    <row r="205" spans="1:15" x14ac:dyDescent="0.25">
      <c r="A205" s="85" t="s">
        <v>194</v>
      </c>
      <c r="B205" s="70" t="s">
        <v>191</v>
      </c>
      <c r="C205" s="50"/>
      <c r="D205" s="51"/>
      <c r="E205" s="50"/>
      <c r="F205" s="52"/>
      <c r="G205" s="50"/>
      <c r="H205" s="54"/>
      <c r="I205" s="53"/>
      <c r="J205" s="53"/>
      <c r="K205" s="59"/>
      <c r="L205" s="55">
        <v>205</v>
      </c>
      <c r="M205" s="55"/>
      <c r="N205" s="86">
        <v>1</v>
      </c>
      <c r="O205" s="84">
        <v>0</v>
      </c>
    </row>
    <row r="206" spans="1:15" x14ac:dyDescent="0.25">
      <c r="A206" s="85" t="s">
        <v>194</v>
      </c>
      <c r="B206" s="70" t="s">
        <v>192</v>
      </c>
      <c r="C206" s="50"/>
      <c r="D206" s="51"/>
      <c r="E206" s="50"/>
      <c r="F206" s="52"/>
      <c r="G206" s="50"/>
      <c r="H206" s="54"/>
      <c r="I206" s="53"/>
      <c r="J206" s="53"/>
      <c r="K206" s="59"/>
      <c r="L206" s="55">
        <v>206</v>
      </c>
      <c r="M206" s="55"/>
      <c r="N206" s="86">
        <v>1</v>
      </c>
      <c r="O206" s="84">
        <v>0</v>
      </c>
    </row>
    <row r="207" spans="1:15" x14ac:dyDescent="0.25">
      <c r="A207" s="85" t="s">
        <v>194</v>
      </c>
      <c r="B207" s="70" t="s">
        <v>228</v>
      </c>
      <c r="C207" s="50"/>
      <c r="D207" s="51"/>
      <c r="E207" s="50"/>
      <c r="F207" s="52"/>
      <c r="G207" s="50"/>
      <c r="H207" s="54"/>
      <c r="I207" s="53"/>
      <c r="J207" s="53"/>
      <c r="K207" s="59"/>
      <c r="L207" s="55">
        <v>207</v>
      </c>
      <c r="M207" s="55"/>
      <c r="N207" s="86">
        <v>1</v>
      </c>
      <c r="O207" s="84">
        <v>0</v>
      </c>
    </row>
    <row r="208" spans="1:15" x14ac:dyDescent="0.25">
      <c r="A208" s="85" t="s">
        <v>194</v>
      </c>
      <c r="B208" s="70" t="s">
        <v>196</v>
      </c>
      <c r="C208" s="50"/>
      <c r="D208" s="51"/>
      <c r="E208" s="50"/>
      <c r="F208" s="52"/>
      <c r="G208" s="50"/>
      <c r="H208" s="54"/>
      <c r="I208" s="53"/>
      <c r="J208" s="53"/>
      <c r="K208" s="59"/>
      <c r="L208" s="55">
        <v>208</v>
      </c>
      <c r="M208" s="55"/>
      <c r="N208" s="86">
        <v>1</v>
      </c>
      <c r="O208" s="89">
        <v>1</v>
      </c>
    </row>
    <row r="209" spans="1:15" x14ac:dyDescent="0.25">
      <c r="A209" s="85" t="s">
        <v>194</v>
      </c>
      <c r="B209" s="70" t="s">
        <v>189</v>
      </c>
      <c r="C209" s="50"/>
      <c r="D209" s="51"/>
      <c r="E209" s="50"/>
      <c r="F209" s="52"/>
      <c r="G209" s="50"/>
      <c r="H209" s="54"/>
      <c r="I209" s="53"/>
      <c r="J209" s="53"/>
      <c r="K209" s="59"/>
      <c r="L209" s="55">
        <v>209</v>
      </c>
      <c r="M209" s="55"/>
      <c r="N209" s="86">
        <v>1</v>
      </c>
      <c r="O209" s="84">
        <v>0</v>
      </c>
    </row>
    <row r="210" spans="1:15" x14ac:dyDescent="0.25">
      <c r="A210" s="85" t="s">
        <v>194</v>
      </c>
      <c r="B210" s="70" t="s">
        <v>193</v>
      </c>
      <c r="C210" s="50"/>
      <c r="D210" s="51"/>
      <c r="E210" s="50"/>
      <c r="F210" s="52"/>
      <c r="G210" s="50"/>
      <c r="H210" s="54"/>
      <c r="I210" s="53"/>
      <c r="J210" s="53"/>
      <c r="K210" s="59"/>
      <c r="L210" s="55">
        <v>210</v>
      </c>
      <c r="M210" s="55"/>
      <c r="N210" s="86">
        <v>1</v>
      </c>
      <c r="O210" s="89">
        <v>1</v>
      </c>
    </row>
    <row r="211" spans="1:15" x14ac:dyDescent="0.25">
      <c r="A211" s="85" t="s">
        <v>194</v>
      </c>
      <c r="B211" s="70" t="s">
        <v>216</v>
      </c>
      <c r="C211" s="50"/>
      <c r="D211" s="51"/>
      <c r="E211" s="50"/>
      <c r="F211" s="52"/>
      <c r="G211" s="50"/>
      <c r="H211" s="54"/>
      <c r="I211" s="53"/>
      <c r="J211" s="53"/>
      <c r="K211" s="59"/>
      <c r="L211" s="55">
        <v>211</v>
      </c>
      <c r="M211" s="55"/>
      <c r="N211" s="86">
        <v>1</v>
      </c>
      <c r="O211" s="88">
        <v>0</v>
      </c>
    </row>
    <row r="212" spans="1:15" x14ac:dyDescent="0.25">
      <c r="A212" s="85" t="s">
        <v>194</v>
      </c>
      <c r="B212" s="70" t="s">
        <v>226</v>
      </c>
      <c r="C212" s="50"/>
      <c r="D212" s="51"/>
      <c r="E212" s="50"/>
      <c r="F212" s="52"/>
      <c r="G212" s="50"/>
      <c r="H212" s="54"/>
      <c r="I212" s="53"/>
      <c r="J212" s="53"/>
      <c r="K212" s="59"/>
      <c r="L212" s="55">
        <v>212</v>
      </c>
      <c r="M212" s="55"/>
      <c r="N212" s="86">
        <v>1</v>
      </c>
      <c r="O212" s="88">
        <v>0</v>
      </c>
    </row>
    <row r="213" spans="1:15" x14ac:dyDescent="0.25">
      <c r="A213" s="85" t="s">
        <v>194</v>
      </c>
      <c r="B213" s="70" t="s">
        <v>198</v>
      </c>
      <c r="C213" s="50"/>
      <c r="D213" s="51"/>
      <c r="E213" s="50"/>
      <c r="F213" s="52"/>
      <c r="G213" s="50"/>
      <c r="H213" s="54"/>
      <c r="I213" s="53"/>
      <c r="J213" s="53"/>
      <c r="K213" s="59"/>
      <c r="L213" s="55">
        <v>213</v>
      </c>
      <c r="M213" s="55"/>
      <c r="N213" s="86">
        <v>1</v>
      </c>
      <c r="O213" s="88">
        <v>0</v>
      </c>
    </row>
    <row r="214" spans="1:15" x14ac:dyDescent="0.25">
      <c r="A214" s="85" t="s">
        <v>198</v>
      </c>
      <c r="B214" s="70" t="s">
        <v>197</v>
      </c>
      <c r="C214" s="50"/>
      <c r="D214" s="51"/>
      <c r="E214" s="50"/>
      <c r="F214" s="52"/>
      <c r="G214" s="50"/>
      <c r="H214" s="54"/>
      <c r="I214" s="53"/>
      <c r="J214" s="53"/>
      <c r="K214" s="59"/>
      <c r="L214" s="55">
        <v>214</v>
      </c>
      <c r="M214" s="55"/>
      <c r="N214" s="86">
        <v>1</v>
      </c>
      <c r="O214" s="88">
        <v>0</v>
      </c>
    </row>
    <row r="215" spans="1:15" x14ac:dyDescent="0.25">
      <c r="A215" s="85" t="s">
        <v>198</v>
      </c>
      <c r="B215" s="70" t="s">
        <v>231</v>
      </c>
      <c r="C215" s="50"/>
      <c r="D215" s="51"/>
      <c r="E215" s="50"/>
      <c r="F215" s="52"/>
      <c r="G215" s="50"/>
      <c r="H215" s="54"/>
      <c r="I215" s="53"/>
      <c r="J215" s="53"/>
      <c r="K215" s="59"/>
      <c r="L215" s="55">
        <v>215</v>
      </c>
      <c r="M215" s="55"/>
      <c r="N215" s="86">
        <v>1</v>
      </c>
      <c r="O215" s="88">
        <v>0</v>
      </c>
    </row>
    <row r="216" spans="1:15" x14ac:dyDescent="0.25">
      <c r="A216" s="85" t="s">
        <v>198</v>
      </c>
      <c r="B216" s="70" t="s">
        <v>196</v>
      </c>
      <c r="C216" s="50"/>
      <c r="D216" s="51"/>
      <c r="E216" s="50"/>
      <c r="F216" s="52"/>
      <c r="G216" s="50"/>
      <c r="H216" s="54"/>
      <c r="I216" s="53"/>
      <c r="J216" s="53"/>
      <c r="K216" s="59"/>
      <c r="L216" s="55">
        <v>216</v>
      </c>
      <c r="M216" s="55"/>
      <c r="N216" s="86">
        <v>1</v>
      </c>
      <c r="O216" s="88">
        <v>0</v>
      </c>
    </row>
    <row r="217" spans="1:15" x14ac:dyDescent="0.25">
      <c r="A217" s="85" t="s">
        <v>198</v>
      </c>
      <c r="B217" s="70" t="s">
        <v>193</v>
      </c>
      <c r="C217" s="50"/>
      <c r="D217" s="51"/>
      <c r="E217" s="50"/>
      <c r="F217" s="52"/>
      <c r="G217" s="50"/>
      <c r="H217" s="54"/>
      <c r="I217" s="53"/>
      <c r="J217" s="53"/>
      <c r="K217" s="59"/>
      <c r="L217" s="55">
        <v>217</v>
      </c>
      <c r="M217" s="55"/>
      <c r="N217" s="86">
        <v>1</v>
      </c>
      <c r="O217" s="88">
        <v>0</v>
      </c>
    </row>
    <row r="218" spans="1:15" x14ac:dyDescent="0.25">
      <c r="A218" s="85" t="s">
        <v>198</v>
      </c>
      <c r="B218" s="70" t="s">
        <v>194</v>
      </c>
      <c r="C218" s="50"/>
      <c r="D218" s="51"/>
      <c r="E218" s="50"/>
      <c r="F218" s="52"/>
      <c r="G218" s="50"/>
      <c r="H218" s="54"/>
      <c r="I218" s="53"/>
      <c r="J218" s="53"/>
      <c r="K218" s="59"/>
      <c r="L218" s="55">
        <v>218</v>
      </c>
      <c r="M218" s="55"/>
      <c r="N218" s="86">
        <v>1</v>
      </c>
      <c r="O218" s="88">
        <v>0</v>
      </c>
    </row>
    <row r="219" spans="1:15" x14ac:dyDescent="0.25">
      <c r="A219" s="85" t="s">
        <v>200</v>
      </c>
      <c r="B219" s="70" t="s">
        <v>201</v>
      </c>
      <c r="C219" s="50"/>
      <c r="D219" s="51"/>
      <c r="E219" s="50"/>
      <c r="F219" s="52"/>
      <c r="G219" s="50"/>
      <c r="H219" s="54"/>
      <c r="I219" s="53"/>
      <c r="J219" s="53"/>
      <c r="K219" s="59"/>
      <c r="L219" s="55">
        <v>219</v>
      </c>
      <c r="M219" s="55"/>
      <c r="N219" s="86">
        <v>1</v>
      </c>
      <c r="O219" s="85">
        <v>1</v>
      </c>
    </row>
    <row r="220" spans="1:15" x14ac:dyDescent="0.25">
      <c r="A220" s="85" t="s">
        <v>200</v>
      </c>
      <c r="B220" s="70" t="s">
        <v>202</v>
      </c>
      <c r="C220" s="50"/>
      <c r="D220" s="51"/>
      <c r="E220" s="50"/>
      <c r="F220" s="52"/>
      <c r="G220" s="50"/>
      <c r="H220" s="54"/>
      <c r="I220" s="53"/>
      <c r="J220" s="53"/>
      <c r="K220" s="59"/>
      <c r="L220" s="55">
        <v>220</v>
      </c>
      <c r="M220" s="55"/>
      <c r="N220" s="86">
        <v>1</v>
      </c>
      <c r="O220" s="88">
        <v>0</v>
      </c>
    </row>
    <row r="221" spans="1:15" x14ac:dyDescent="0.25">
      <c r="A221" s="85" t="s">
        <v>209</v>
      </c>
      <c r="B221" s="70" t="s">
        <v>205</v>
      </c>
      <c r="C221" s="50"/>
      <c r="D221" s="51"/>
      <c r="E221" s="50"/>
      <c r="F221" s="52"/>
      <c r="G221" s="50"/>
      <c r="H221" s="54"/>
      <c r="I221" s="53"/>
      <c r="J221" s="53"/>
      <c r="K221" s="59"/>
      <c r="L221" s="55">
        <v>221</v>
      </c>
      <c r="M221" s="55"/>
      <c r="N221" s="86">
        <v>1</v>
      </c>
      <c r="O221" s="88">
        <v>0</v>
      </c>
    </row>
    <row r="222" spans="1:15" x14ac:dyDescent="0.25">
      <c r="A222" s="85" t="s">
        <v>209</v>
      </c>
      <c r="B222" s="70" t="s">
        <v>201</v>
      </c>
      <c r="C222" s="50"/>
      <c r="D222" s="51"/>
      <c r="E222" s="50"/>
      <c r="F222" s="52"/>
      <c r="G222" s="50"/>
      <c r="H222" s="54"/>
      <c r="I222" s="53"/>
      <c r="J222" s="53"/>
      <c r="K222" s="59"/>
      <c r="L222" s="55">
        <v>222</v>
      </c>
      <c r="M222" s="55"/>
      <c r="N222" s="86">
        <v>1</v>
      </c>
      <c r="O222" s="88">
        <v>0</v>
      </c>
    </row>
    <row r="223" spans="1:15" x14ac:dyDescent="0.25">
      <c r="A223" s="85" t="s">
        <v>209</v>
      </c>
      <c r="B223" s="70" t="s">
        <v>202</v>
      </c>
      <c r="C223" s="50"/>
      <c r="D223" s="51"/>
      <c r="E223" s="50"/>
      <c r="F223" s="52"/>
      <c r="G223" s="50"/>
      <c r="H223" s="54"/>
      <c r="I223" s="53"/>
      <c r="J223" s="53"/>
      <c r="K223" s="59"/>
      <c r="L223" s="55">
        <v>223</v>
      </c>
      <c r="M223" s="55"/>
      <c r="N223" s="86">
        <v>1</v>
      </c>
      <c r="O223" s="88">
        <v>0</v>
      </c>
    </row>
    <row r="224" spans="1:15" x14ac:dyDescent="0.25">
      <c r="A224" s="85" t="s">
        <v>209</v>
      </c>
      <c r="B224" s="70" t="s">
        <v>210</v>
      </c>
      <c r="C224" s="50"/>
      <c r="D224" s="51"/>
      <c r="E224" s="50"/>
      <c r="F224" s="52"/>
      <c r="G224" s="50"/>
      <c r="H224" s="54"/>
      <c r="I224" s="53"/>
      <c r="J224" s="53"/>
      <c r="K224" s="59"/>
      <c r="L224" s="55">
        <v>224</v>
      </c>
      <c r="M224" s="55"/>
      <c r="N224" s="86">
        <v>1</v>
      </c>
      <c r="O224" s="85">
        <v>1</v>
      </c>
    </row>
    <row r="225" spans="1:15" x14ac:dyDescent="0.25">
      <c r="A225" s="85" t="s">
        <v>209</v>
      </c>
      <c r="B225" s="70" t="s">
        <v>211</v>
      </c>
      <c r="C225" s="50"/>
      <c r="D225" s="51"/>
      <c r="E225" s="50"/>
      <c r="F225" s="52"/>
      <c r="G225" s="50"/>
      <c r="H225" s="54"/>
      <c r="I225" s="53"/>
      <c r="J225" s="53"/>
      <c r="K225" s="59"/>
      <c r="L225" s="55">
        <v>225</v>
      </c>
      <c r="M225" s="55"/>
      <c r="N225" s="86">
        <v>1</v>
      </c>
      <c r="O225" s="88">
        <v>0</v>
      </c>
    </row>
    <row r="226" spans="1:15" x14ac:dyDescent="0.25">
      <c r="A226" s="85" t="s">
        <v>209</v>
      </c>
      <c r="B226" s="70" t="s">
        <v>207</v>
      </c>
      <c r="C226" s="50"/>
      <c r="D226" s="51"/>
      <c r="E226" s="50"/>
      <c r="F226" s="52"/>
      <c r="G226" s="50"/>
      <c r="H226" s="54"/>
      <c r="I226" s="53"/>
      <c r="J226" s="53"/>
      <c r="K226" s="59"/>
      <c r="L226" s="55">
        <v>226</v>
      </c>
      <c r="M226" s="55"/>
      <c r="N226" s="86">
        <v>1</v>
      </c>
      <c r="O226" s="88">
        <v>0</v>
      </c>
    </row>
    <row r="227" spans="1:15" x14ac:dyDescent="0.25">
      <c r="A227" s="85" t="s">
        <v>209</v>
      </c>
      <c r="B227" s="70" t="s">
        <v>200</v>
      </c>
      <c r="C227" s="50"/>
      <c r="D227" s="51"/>
      <c r="E227" s="50"/>
      <c r="F227" s="52"/>
      <c r="G227" s="50"/>
      <c r="H227" s="54"/>
      <c r="I227" s="53"/>
      <c r="J227" s="53"/>
      <c r="K227" s="59"/>
      <c r="L227" s="55">
        <v>227</v>
      </c>
      <c r="M227" s="55"/>
      <c r="N227" s="86">
        <v>1</v>
      </c>
      <c r="O227" s="88">
        <v>0</v>
      </c>
    </row>
  </sheetData>
  <dataConsolidate/>
  <conditionalFormatting sqref="A3:B227">
    <cfRule type="expression" dxfId="104" priority="1">
      <formula>$A3=$B3</formula>
    </cfRule>
  </conditionalFormatting>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227"/>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227"/>
    <dataValidation allowBlank="1" showErrorMessage="1" sqref="N2:N227"/>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227"/>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227"/>
    <dataValidation allowBlank="1" showInputMessage="1" promptTitle="Edge Color" prompt="To select an optional edge color, right-click and select Select Color on the right-click menu." sqref="C3:C227"/>
    <dataValidation allowBlank="1" showInputMessage="1" errorTitle="Invalid Edge Width" error="The optional edge width must be a whole number between 1 and 10." promptTitle="Edge Width" prompt="Enter an optional edge width between 1 and 10." sqref="D3:D227"/>
    <dataValidation allowBlank="1" showInputMessage="1" errorTitle="Invalid Edge Opacity" error="The optional edge opacity must be a whole number between 0 and 10." promptTitle="Edge Opacity" prompt="Enter an optional edge opacity between 0 (transparent) and 100 (opaque)." sqref="F3:F227"/>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227">
      <formula1>ValidEdgeVisibilities</formula1>
    </dataValidation>
    <dataValidation allowBlank="1" showInputMessage="1" showErrorMessage="1" promptTitle="Vertex 1 Name" prompt="Enter the name of the edge's first vertex." sqref="A3:A227"/>
    <dataValidation allowBlank="1" showInputMessage="1" showErrorMessage="1" promptTitle="Vertex 2 Name" prompt="Enter the name of the edge's second vertex." sqref="B3:B227"/>
    <dataValidation allowBlank="1" showInputMessage="1" showErrorMessage="1" errorTitle="Invalid Edge Visibility" error="You have entered an unrecognized edge visibility.  Try selecting from the drop-down list instead." promptTitle="Edge Label" prompt="Enter an optional edge label." sqref="H3:H227"/>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227">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227"/>
  </dataValidations>
  <pageMargins left="0.7" right="0.7" top="0.75" bottom="0.75" header="0.3" footer="0.3"/>
  <pageSetup orientation="portrait" horizontalDpi="0" verticalDpi="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J49"/>
  <sheetViews>
    <sheetView workbookViewId="0">
      <pane xSplit="1" ySplit="2" topLeftCell="B3" activePane="bottomRight" state="frozen"/>
      <selection pane="topRight" activeCell="B1" sqref="B1"/>
      <selection pane="bottomLeft" activeCell="A3" sqref="A3"/>
      <selection pane="bottomRight" activeCell="B3" sqref="B3"/>
    </sheetView>
  </sheetViews>
  <sheetFormatPr defaultRowHeight="15" x14ac:dyDescent="0.25"/>
  <cols>
    <col min="1" max="1" width="9.140625" style="1"/>
    <col min="2" max="2" width="16.28515625" bestFit="1" customWidth="1"/>
    <col min="3" max="3" width="8.5703125" customWidth="1"/>
    <col min="4" max="4" width="6.7109375" customWidth="1"/>
    <col min="5" max="5" width="9.85546875" customWidth="1"/>
    <col min="6" max="6" width="7.7109375" customWidth="1"/>
    <col min="7" max="7" width="11" customWidth="1"/>
    <col min="8" max="8" width="8.5703125" style="3"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hidden="1" customWidth="1"/>
    <col min="19" max="19" width="9.28515625" hidden="1" customWidth="1"/>
    <col min="20" max="20" width="9.5703125" hidden="1" customWidth="1"/>
    <col min="21" max="23" width="14.28515625" hidden="1" customWidth="1"/>
    <col min="24" max="24" width="11.85546875" hidden="1" customWidth="1"/>
    <col min="25" max="25" width="14.42578125" hidden="1" customWidth="1"/>
    <col min="26" max="26" width="18.28515625" hidden="1" customWidth="1"/>
    <col min="27" max="27" width="5" style="3" hidden="1" customWidth="1"/>
    <col min="28" max="28" width="16" style="3" hidden="1" customWidth="1"/>
    <col min="29" max="29" width="16" style="6" bestFit="1" customWidth="1"/>
    <col min="30" max="30" width="14.28515625" style="2" customWidth="1"/>
    <col min="31" max="32" width="14.28515625" style="3" customWidth="1"/>
    <col min="33" max="33" width="11.85546875" style="3" customWidth="1"/>
    <col min="34" max="34" width="14.42578125" style="3" customWidth="1"/>
    <col min="35" max="35" width="8.85546875" customWidth="1"/>
    <col min="36" max="36" width="16" customWidth="1"/>
    <col min="37" max="37" width="16" bestFit="1" customWidth="1"/>
    <col min="38" max="39" width="9.140625" customWidth="1"/>
  </cols>
  <sheetData>
    <row r="1" spans="1:36" x14ac:dyDescent="0.25">
      <c r="B1" s="25" t="s">
        <v>38</v>
      </c>
      <c r="C1" s="18"/>
      <c r="D1" s="18"/>
      <c r="E1" s="18"/>
      <c r="F1" s="18"/>
      <c r="G1" s="18"/>
      <c r="H1" s="87" t="s">
        <v>42</v>
      </c>
      <c r="I1" s="26"/>
      <c r="J1" s="26"/>
      <c r="K1" s="26"/>
      <c r="L1" s="28" t="s">
        <v>43</v>
      </c>
      <c r="M1" s="27"/>
      <c r="N1" s="27"/>
      <c r="O1" s="27"/>
      <c r="P1" s="27"/>
      <c r="Q1" s="27"/>
      <c r="R1" s="24" t="s">
        <v>41</v>
      </c>
      <c r="S1" s="21"/>
      <c r="T1" s="22"/>
      <c r="U1" s="23"/>
      <c r="V1" s="21"/>
      <c r="W1" s="21"/>
      <c r="X1" s="21"/>
      <c r="Y1" s="21"/>
      <c r="Z1" s="21"/>
      <c r="AA1" s="29" t="s">
        <v>39</v>
      </c>
      <c r="AB1" s="20"/>
      <c r="AC1" s="30" t="s">
        <v>40</v>
      </c>
      <c r="AD1"/>
      <c r="AE1"/>
      <c r="AF1"/>
      <c r="AG1"/>
      <c r="AH1"/>
    </row>
    <row r="2" spans="1:36" ht="30" customHeight="1" x14ac:dyDescent="0.25">
      <c r="A2" s="11" t="s">
        <v>5</v>
      </c>
      <c r="B2" s="8" t="s">
        <v>2</v>
      </c>
      <c r="C2" s="8" t="s">
        <v>8</v>
      </c>
      <c r="D2" s="9" t="s">
        <v>44</v>
      </c>
      <c r="E2" s="10" t="s">
        <v>4</v>
      </c>
      <c r="F2" s="8" t="s">
        <v>47</v>
      </c>
      <c r="G2" s="8" t="s">
        <v>11</v>
      </c>
      <c r="H2" s="8" t="s">
        <v>45</v>
      </c>
      <c r="I2" s="8" t="s">
        <v>46</v>
      </c>
      <c r="J2" s="8" t="s">
        <v>76</v>
      </c>
      <c r="K2" s="8" t="s">
        <v>10</v>
      </c>
      <c r="L2" s="8" t="s">
        <v>26</v>
      </c>
      <c r="M2" s="8" t="s">
        <v>15</v>
      </c>
      <c r="N2" s="8" t="s">
        <v>16</v>
      </c>
      <c r="O2" s="8" t="s">
        <v>13</v>
      </c>
      <c r="P2" s="8" t="s">
        <v>27</v>
      </c>
      <c r="Q2" s="8" t="s">
        <v>28</v>
      </c>
      <c r="R2" s="13" t="s">
        <v>30</v>
      </c>
      <c r="S2" s="13" t="s">
        <v>31</v>
      </c>
      <c r="T2" s="13" t="s">
        <v>32</v>
      </c>
      <c r="U2" s="13" t="s">
        <v>33</v>
      </c>
      <c r="V2" s="13" t="s">
        <v>34</v>
      </c>
      <c r="W2" s="13" t="s">
        <v>35</v>
      </c>
      <c r="X2" s="13" t="s">
        <v>136</v>
      </c>
      <c r="Y2" s="13" t="s">
        <v>36</v>
      </c>
      <c r="Z2" s="13" t="s">
        <v>169</v>
      </c>
      <c r="AA2" s="11" t="s">
        <v>12</v>
      </c>
      <c r="AB2" s="11" t="s">
        <v>37</v>
      </c>
      <c r="AC2" s="8" t="s">
        <v>179</v>
      </c>
      <c r="AD2" s="11" t="s">
        <v>180</v>
      </c>
      <c r="AE2" s="11" t="s">
        <v>181</v>
      </c>
      <c r="AF2" s="11" t="s">
        <v>182</v>
      </c>
      <c r="AG2" s="11" t="s">
        <v>183</v>
      </c>
      <c r="AH2" s="11" t="s">
        <v>184</v>
      </c>
      <c r="AI2" s="11" t="s">
        <v>143</v>
      </c>
      <c r="AJ2" s="11" t="s">
        <v>238</v>
      </c>
    </row>
    <row r="3" spans="1:36" ht="15" customHeight="1" x14ac:dyDescent="0.25">
      <c r="A3" s="70" t="s">
        <v>213</v>
      </c>
      <c r="B3" s="15" t="str">
        <f>IF(Vertices[[#This Row],[Gender]]="F","Red","Blue")</f>
        <v>Blue</v>
      </c>
      <c r="C3" s="15">
        <f>IF(Vertices[[#This Row],[ACCT]]="x",2,IF(Vertices[[#This Row],[IE]]="x",10,IF(Vertices[[#This Row],[MS-MIS]]="x",7,IF(Vertices[[#This Row],[MBA]]="x",9,5))))</f>
        <v>9</v>
      </c>
      <c r="D3" s="71">
        <f>10</f>
        <v>10</v>
      </c>
      <c r="E3" s="72"/>
      <c r="F3" s="15"/>
      <c r="G3" s="15"/>
      <c r="H3" s="58" t="str">
        <f>Vertices[[#This Row],[Status]]</f>
        <v>PT</v>
      </c>
      <c r="I3" s="58"/>
      <c r="J3" s="58"/>
      <c r="K3" s="16"/>
      <c r="L3" s="73"/>
      <c r="M3" s="74">
        <v>9741.4404296875</v>
      </c>
      <c r="N3" s="74">
        <v>3318.58447265625</v>
      </c>
      <c r="O3" s="69"/>
      <c r="P3" s="75"/>
      <c r="Q3" s="75"/>
      <c r="R3" s="76"/>
      <c r="S3" s="76"/>
      <c r="T3" s="76"/>
      <c r="U3" s="76"/>
      <c r="V3" s="77"/>
      <c r="W3" s="77"/>
      <c r="X3" s="77"/>
      <c r="Y3" s="77"/>
      <c r="Z3" s="49"/>
      <c r="AA3" s="78">
        <v>5</v>
      </c>
      <c r="AB3" s="78"/>
      <c r="AC3" s="81" t="s">
        <v>177</v>
      </c>
      <c r="AD3" s="80" t="s">
        <v>174</v>
      </c>
      <c r="AE3" s="80" t="s">
        <v>175</v>
      </c>
      <c r="AF3" s="80" t="s">
        <v>175</v>
      </c>
      <c r="AG3" s="80" t="s">
        <v>175</v>
      </c>
      <c r="AH3" s="80" t="s">
        <v>176</v>
      </c>
      <c r="AI3" s="79">
        <v>6</v>
      </c>
      <c r="AJ3" s="3" t="str">
        <f>IF(Vertices[[#This Row],[ACCT]]="x",Vertices[[#Headers],[ACCT]],IF(Vertices[[#This Row],[IE]]="x",Vertices[[#Headers],[IE]],IF(Vertices[[#This Row],[MS-MIS]]="x",Vertices[[#Headers],[MS-MIS]],Vertices[[#Headers],[MBA]])))</f>
        <v>MBA</v>
      </c>
    </row>
    <row r="4" spans="1:36" x14ac:dyDescent="0.25">
      <c r="A4" s="70" t="s">
        <v>208</v>
      </c>
      <c r="B4" s="15" t="str">
        <f>IF(Vertices[[#This Row],[Gender]]="F","Red","Blue")</f>
        <v>Red</v>
      </c>
      <c r="C4" s="15">
        <f>IF(Vertices[[#This Row],[ACCT]]="x",2,IF(Vertices[[#This Row],[IE]]="x",10,IF(Vertices[[#This Row],[MS-MIS]]="x",7,IF(Vertices[[#This Row],[MBA]]="x",9,5))))</f>
        <v>2</v>
      </c>
      <c r="D4" s="71">
        <f>10</f>
        <v>10</v>
      </c>
      <c r="E4" s="72"/>
      <c r="F4" s="15"/>
      <c r="G4" s="15"/>
      <c r="H4" s="58" t="str">
        <f>Vertices[[#This Row],[Status]]</f>
        <v>FT</v>
      </c>
      <c r="I4" s="58"/>
      <c r="J4" s="58"/>
      <c r="K4" s="16"/>
      <c r="L4" s="73"/>
      <c r="M4" s="74">
        <v>5485.2568359375</v>
      </c>
      <c r="N4" s="74">
        <v>3707.086669921875</v>
      </c>
      <c r="O4" s="69"/>
      <c r="P4" s="75"/>
      <c r="Q4" s="75"/>
      <c r="R4" s="76"/>
      <c r="S4" s="76"/>
      <c r="T4" s="76"/>
      <c r="U4" s="76"/>
      <c r="V4" s="77"/>
      <c r="W4" s="77"/>
      <c r="X4" s="77"/>
      <c r="Y4" s="77"/>
      <c r="Z4" s="49"/>
      <c r="AA4" s="78">
        <v>6</v>
      </c>
      <c r="AB4" s="78"/>
      <c r="AC4" s="81" t="s">
        <v>173</v>
      </c>
      <c r="AD4" s="80" t="s">
        <v>178</v>
      </c>
      <c r="AE4" s="80" t="s">
        <v>176</v>
      </c>
      <c r="AF4" s="80" t="s">
        <v>175</v>
      </c>
      <c r="AG4" s="80" t="s">
        <v>175</v>
      </c>
      <c r="AH4" s="80" t="s">
        <v>175</v>
      </c>
      <c r="AI4" s="79">
        <v>6</v>
      </c>
      <c r="AJ4" s="3" t="str">
        <f>IF(Vertices[[#This Row],[ACCT]]="x",Vertices[[#Headers],[ACCT]],IF(Vertices[[#This Row],[IE]]="x",Vertices[[#Headers],[IE]],IF(Vertices[[#This Row],[MS-MIS]]="x",Vertices[[#Headers],[MS-MIS]],Vertices[[#Headers],[MBA]])))</f>
        <v>ACCT</v>
      </c>
    </row>
    <row r="5" spans="1:36" x14ac:dyDescent="0.25">
      <c r="A5" s="70" t="s">
        <v>205</v>
      </c>
      <c r="B5" s="15" t="str">
        <f>IF(Vertices[[#This Row],[Gender]]="F","Red","Blue")</f>
        <v>Red</v>
      </c>
      <c r="C5" s="15">
        <f>IF(Vertices[[#This Row],[ACCT]]="x",2,IF(Vertices[[#This Row],[IE]]="x",10,IF(Vertices[[#This Row],[MS-MIS]]="x",7,IF(Vertices[[#This Row],[MBA]]="x",9,5))))</f>
        <v>9</v>
      </c>
      <c r="D5" s="71">
        <f>10</f>
        <v>10</v>
      </c>
      <c r="E5" s="72"/>
      <c r="F5" s="15"/>
      <c r="G5" s="15"/>
      <c r="H5" s="58" t="str">
        <f>Vertices[[#This Row],[Status]]</f>
        <v>PT</v>
      </c>
      <c r="I5" s="58"/>
      <c r="J5" s="58"/>
      <c r="K5" s="16"/>
      <c r="L5" s="73"/>
      <c r="M5" s="74">
        <v>7197.13330078125</v>
      </c>
      <c r="N5" s="74">
        <v>5944.65283203125</v>
      </c>
      <c r="O5" s="69"/>
      <c r="P5" s="75"/>
      <c r="Q5" s="75"/>
      <c r="R5" s="76"/>
      <c r="S5" s="76"/>
      <c r="T5" s="76"/>
      <c r="U5" s="76"/>
      <c r="V5" s="77"/>
      <c r="W5" s="77"/>
      <c r="X5" s="77"/>
      <c r="Y5" s="77"/>
      <c r="Z5" s="49"/>
      <c r="AA5" s="78">
        <v>4</v>
      </c>
      <c r="AB5" s="78"/>
      <c r="AC5" s="81" t="s">
        <v>173</v>
      </c>
      <c r="AD5" s="80" t="s">
        <v>174</v>
      </c>
      <c r="AE5" s="80" t="s">
        <v>175</v>
      </c>
      <c r="AF5" s="80" t="s">
        <v>175</v>
      </c>
      <c r="AG5" s="80" t="s">
        <v>175</v>
      </c>
      <c r="AH5" s="80" t="s">
        <v>176</v>
      </c>
      <c r="AI5" s="79">
        <v>8</v>
      </c>
      <c r="AJ5" s="3" t="str">
        <f>IF(Vertices[[#This Row],[ACCT]]="x",Vertices[[#Headers],[ACCT]],IF(Vertices[[#This Row],[IE]]="x",Vertices[[#Headers],[IE]],IF(Vertices[[#This Row],[MS-MIS]]="x",Vertices[[#Headers],[MS-MIS]],Vertices[[#Headers],[MBA]])))</f>
        <v>MBA</v>
      </c>
    </row>
    <row r="6" spans="1:36" x14ac:dyDescent="0.25">
      <c r="A6" s="70" t="s">
        <v>218</v>
      </c>
      <c r="B6" s="15" t="str">
        <f>IF(Vertices[[#This Row],[Gender]]="F","Red","Blue")</f>
        <v>Blue</v>
      </c>
      <c r="C6" s="15">
        <f>IF(Vertices[[#This Row],[ACCT]]="x",2,IF(Vertices[[#This Row],[IE]]="x",10,IF(Vertices[[#This Row],[MS-MIS]]="x",7,IF(Vertices[[#This Row],[MBA]]="x",9,5))))</f>
        <v>2</v>
      </c>
      <c r="D6" s="71">
        <f>10</f>
        <v>10</v>
      </c>
      <c r="E6" s="72"/>
      <c r="F6" s="15"/>
      <c r="G6" s="15"/>
      <c r="H6" s="58" t="str">
        <f>Vertices[[#This Row],[Status]]</f>
        <v>FT</v>
      </c>
      <c r="I6" s="58"/>
      <c r="J6" s="58"/>
      <c r="K6" s="16"/>
      <c r="L6" s="73"/>
      <c r="M6" s="74">
        <v>621.4886474609375</v>
      </c>
      <c r="N6" s="74">
        <v>4368.99560546875</v>
      </c>
      <c r="O6" s="69"/>
      <c r="P6" s="75"/>
      <c r="Q6" s="75"/>
      <c r="R6" s="76"/>
      <c r="S6" s="76"/>
      <c r="T6" s="76"/>
      <c r="U6" s="76"/>
      <c r="V6" s="77"/>
      <c r="W6" s="77"/>
      <c r="X6" s="77"/>
      <c r="Y6" s="77"/>
      <c r="Z6" s="49"/>
      <c r="AA6" s="78">
        <v>7</v>
      </c>
      <c r="AB6" s="78"/>
      <c r="AC6" s="81" t="s">
        <v>177</v>
      </c>
      <c r="AD6" s="80" t="s">
        <v>178</v>
      </c>
      <c r="AE6" s="80" t="s">
        <v>176</v>
      </c>
      <c r="AF6" s="80" t="s">
        <v>175</v>
      </c>
      <c r="AG6" s="80" t="s">
        <v>175</v>
      </c>
      <c r="AH6" s="80" t="s">
        <v>176</v>
      </c>
      <c r="AI6" s="79">
        <v>3</v>
      </c>
      <c r="AJ6" s="3" t="str">
        <f>IF(Vertices[[#This Row],[ACCT]]="x",Vertices[[#Headers],[ACCT]],IF(Vertices[[#This Row],[IE]]="x",Vertices[[#Headers],[IE]],IF(Vertices[[#This Row],[MS-MIS]]="x",Vertices[[#Headers],[MS-MIS]],Vertices[[#Headers],[MBA]])))</f>
        <v>ACCT</v>
      </c>
    </row>
    <row r="7" spans="1:36" x14ac:dyDescent="0.25">
      <c r="A7" s="70" t="s">
        <v>201</v>
      </c>
      <c r="B7" s="15" t="str">
        <f>IF(Vertices[[#This Row],[Gender]]="F","Red","Blue")</f>
        <v>Red</v>
      </c>
      <c r="C7" s="15">
        <f>IF(Vertices[[#This Row],[ACCT]]="x",2,IF(Vertices[[#This Row],[IE]]="x",10,IF(Vertices[[#This Row],[MS-MIS]]="x",7,IF(Vertices[[#This Row],[MBA]]="x",9,5))))</f>
        <v>7</v>
      </c>
      <c r="D7" s="71">
        <f>10</f>
        <v>10</v>
      </c>
      <c r="E7" s="72"/>
      <c r="F7" s="15"/>
      <c r="G7" s="15"/>
      <c r="H7" s="58" t="str">
        <f>Vertices[[#This Row],[Status]]</f>
        <v>PT</v>
      </c>
      <c r="I7" s="58"/>
      <c r="J7" s="58"/>
      <c r="K7" s="16"/>
      <c r="L7" s="73"/>
      <c r="M7" s="74">
        <v>7092.8330078125</v>
      </c>
      <c r="N7" s="74">
        <v>8332.0791015625</v>
      </c>
      <c r="O7" s="69"/>
      <c r="P7" s="75"/>
      <c r="Q7" s="75"/>
      <c r="R7" s="76"/>
      <c r="S7" s="76"/>
      <c r="T7" s="76"/>
      <c r="U7" s="76"/>
      <c r="V7" s="77"/>
      <c r="W7" s="77"/>
      <c r="X7" s="77"/>
      <c r="Y7" s="77"/>
      <c r="Z7" s="49"/>
      <c r="AA7" s="78">
        <v>11</v>
      </c>
      <c r="AB7" s="78"/>
      <c r="AC7" s="81" t="s">
        <v>173</v>
      </c>
      <c r="AD7" s="80" t="s">
        <v>174</v>
      </c>
      <c r="AE7" s="80" t="s">
        <v>175</v>
      </c>
      <c r="AF7" s="80" t="s">
        <v>175</v>
      </c>
      <c r="AG7" s="80" t="s">
        <v>176</v>
      </c>
      <c r="AH7" s="80" t="s">
        <v>176</v>
      </c>
      <c r="AI7" s="79">
        <v>9</v>
      </c>
      <c r="AJ7" s="3" t="str">
        <f>IF(Vertices[[#This Row],[ACCT]]="x",Vertices[[#Headers],[ACCT]],IF(Vertices[[#This Row],[IE]]="x",Vertices[[#Headers],[IE]],IF(Vertices[[#This Row],[MS-MIS]]="x",Vertices[[#Headers],[MS-MIS]],Vertices[[#Headers],[MBA]])))</f>
        <v>MS-MIS</v>
      </c>
    </row>
    <row r="8" spans="1:36" x14ac:dyDescent="0.25">
      <c r="A8" s="70" t="s">
        <v>227</v>
      </c>
      <c r="B8" s="15" t="str">
        <f>IF(Vertices[[#This Row],[Gender]]="F","Red","Blue")</f>
        <v>Blue</v>
      </c>
      <c r="C8" s="15">
        <f>IF(Vertices[[#This Row],[ACCT]]="x",2,IF(Vertices[[#This Row],[IE]]="x",10,IF(Vertices[[#This Row],[MS-MIS]]="x",7,IF(Vertices[[#This Row],[MBA]]="x",9,5))))</f>
        <v>2</v>
      </c>
      <c r="D8" s="71">
        <f>10</f>
        <v>10</v>
      </c>
      <c r="E8" s="72"/>
      <c r="F8" s="15"/>
      <c r="G8" s="15"/>
      <c r="H8" s="58" t="str">
        <f>Vertices[[#This Row],[Status]]</f>
        <v>FT</v>
      </c>
      <c r="I8" s="58"/>
      <c r="J8" s="58"/>
      <c r="K8" s="16"/>
      <c r="L8" s="73"/>
      <c r="M8" s="74">
        <v>3828.229248046875</v>
      </c>
      <c r="N8" s="74">
        <v>5680.12109375</v>
      </c>
      <c r="O8" s="69"/>
      <c r="P8" s="75"/>
      <c r="Q8" s="75"/>
      <c r="R8" s="76"/>
      <c r="S8" s="76"/>
      <c r="T8" s="76"/>
      <c r="U8" s="76"/>
      <c r="V8" s="77"/>
      <c r="W8" s="77"/>
      <c r="X8" s="77"/>
      <c r="Y8" s="77"/>
      <c r="Z8" s="49"/>
      <c r="AA8" s="78">
        <v>9</v>
      </c>
      <c r="AB8" s="78"/>
      <c r="AC8" s="81" t="s">
        <v>177</v>
      </c>
      <c r="AD8" s="80" t="s">
        <v>178</v>
      </c>
      <c r="AE8" s="80" t="s">
        <v>176</v>
      </c>
      <c r="AF8" s="80" t="s">
        <v>175</v>
      </c>
      <c r="AG8" s="80" t="s">
        <v>175</v>
      </c>
      <c r="AH8" s="80" t="s">
        <v>175</v>
      </c>
      <c r="AI8" s="79">
        <v>4</v>
      </c>
      <c r="AJ8" s="3" t="str">
        <f>IF(Vertices[[#This Row],[ACCT]]="x",Vertices[[#Headers],[ACCT]],IF(Vertices[[#This Row],[IE]]="x",Vertices[[#Headers],[IE]],IF(Vertices[[#This Row],[MS-MIS]]="x",Vertices[[#Headers],[MS-MIS]],Vertices[[#Headers],[MBA]])))</f>
        <v>ACCT</v>
      </c>
    </row>
    <row r="9" spans="1:36" x14ac:dyDescent="0.25">
      <c r="A9" s="70" t="s">
        <v>212</v>
      </c>
      <c r="B9" s="15" t="str">
        <f>IF(Vertices[[#This Row],[Gender]]="F","Red","Blue")</f>
        <v>Red</v>
      </c>
      <c r="C9" s="15">
        <f>IF(Vertices[[#This Row],[ACCT]]="x",2,IF(Vertices[[#This Row],[IE]]="x",10,IF(Vertices[[#This Row],[MS-MIS]]="x",7,IF(Vertices[[#This Row],[MBA]]="x",9,5))))</f>
        <v>9</v>
      </c>
      <c r="D9" s="71">
        <f>10</f>
        <v>10</v>
      </c>
      <c r="E9" s="72"/>
      <c r="F9" s="15"/>
      <c r="G9" s="15"/>
      <c r="H9" s="58" t="str">
        <f>Vertices[[#This Row],[Status]]</f>
        <v>PT</v>
      </c>
      <c r="I9" s="58"/>
      <c r="J9" s="58"/>
      <c r="K9" s="16"/>
      <c r="L9" s="73"/>
      <c r="M9" s="74">
        <v>7286.36328125</v>
      </c>
      <c r="N9" s="74">
        <v>3861.196044921875</v>
      </c>
      <c r="O9" s="69"/>
      <c r="P9" s="75"/>
      <c r="Q9" s="75"/>
      <c r="R9" s="76"/>
      <c r="S9" s="76"/>
      <c r="T9" s="76"/>
      <c r="U9" s="76"/>
      <c r="V9" s="77"/>
      <c r="W9" s="77"/>
      <c r="X9" s="77"/>
      <c r="Y9" s="77"/>
      <c r="Z9" s="49"/>
      <c r="AA9" s="78">
        <v>8</v>
      </c>
      <c r="AB9" s="78"/>
      <c r="AC9" s="81" t="s">
        <v>173</v>
      </c>
      <c r="AD9" s="80" t="s">
        <v>174</v>
      </c>
      <c r="AE9" s="80" t="s">
        <v>175</v>
      </c>
      <c r="AF9" s="80" t="s">
        <v>175</v>
      </c>
      <c r="AG9" s="80" t="s">
        <v>175</v>
      </c>
      <c r="AH9" s="80" t="s">
        <v>176</v>
      </c>
      <c r="AI9" s="79">
        <v>4</v>
      </c>
      <c r="AJ9" s="3" t="str">
        <f>IF(Vertices[[#This Row],[ACCT]]="x",Vertices[[#Headers],[ACCT]],IF(Vertices[[#This Row],[IE]]="x",Vertices[[#Headers],[IE]],IF(Vertices[[#This Row],[MS-MIS]]="x",Vertices[[#Headers],[MS-MIS]],Vertices[[#Headers],[MBA]])))</f>
        <v>MBA</v>
      </c>
    </row>
    <row r="10" spans="1:36" x14ac:dyDescent="0.25">
      <c r="A10" s="70" t="s">
        <v>197</v>
      </c>
      <c r="B10" s="15" t="str">
        <f>IF(Vertices[[#This Row],[Gender]]="F","Red","Blue")</f>
        <v>Blue</v>
      </c>
      <c r="C10" s="15">
        <f>IF(Vertices[[#This Row],[ACCT]]="x",2,IF(Vertices[[#This Row],[IE]]="x",10,IF(Vertices[[#This Row],[MS-MIS]]="x",7,IF(Vertices[[#This Row],[MBA]]="x",9,5))))</f>
        <v>2</v>
      </c>
      <c r="D10" s="71">
        <f>10</f>
        <v>10</v>
      </c>
      <c r="E10" s="72"/>
      <c r="F10" s="15"/>
      <c r="G10" s="15"/>
      <c r="H10" s="58" t="str">
        <f>Vertices[[#This Row],[Status]]</f>
        <v>FT</v>
      </c>
      <c r="I10" s="58"/>
      <c r="J10" s="58"/>
      <c r="K10" s="16"/>
      <c r="L10" s="73"/>
      <c r="M10" s="74">
        <v>2429.0927734375</v>
      </c>
      <c r="N10" s="74">
        <v>6248.35302734375</v>
      </c>
      <c r="O10" s="69"/>
      <c r="P10" s="75"/>
      <c r="Q10" s="75"/>
      <c r="R10" s="76"/>
      <c r="S10" s="76"/>
      <c r="T10" s="76"/>
      <c r="U10" s="76"/>
      <c r="V10" s="77"/>
      <c r="W10" s="77"/>
      <c r="X10" s="77"/>
      <c r="Y10" s="77"/>
      <c r="Z10" s="49"/>
      <c r="AA10" s="78">
        <v>10</v>
      </c>
      <c r="AB10" s="78"/>
      <c r="AC10" s="81" t="s">
        <v>177</v>
      </c>
      <c r="AD10" s="80" t="s">
        <v>178</v>
      </c>
      <c r="AE10" s="80" t="s">
        <v>176</v>
      </c>
      <c r="AF10" s="80" t="s">
        <v>175</v>
      </c>
      <c r="AG10" s="80" t="s">
        <v>175</v>
      </c>
      <c r="AH10" s="80" t="s">
        <v>175</v>
      </c>
      <c r="AI10" s="79">
        <v>3</v>
      </c>
      <c r="AJ10" s="3" t="str">
        <f>IF(Vertices[[#This Row],[ACCT]]="x",Vertices[[#Headers],[ACCT]],IF(Vertices[[#This Row],[IE]]="x",Vertices[[#Headers],[IE]],IF(Vertices[[#This Row],[MS-MIS]]="x",Vertices[[#Headers],[MS-MIS]],Vertices[[#Headers],[MBA]])))</f>
        <v>ACCT</v>
      </c>
    </row>
    <row r="11" spans="1:36" x14ac:dyDescent="0.25">
      <c r="A11" s="70" t="s">
        <v>191</v>
      </c>
      <c r="B11" s="15" t="str">
        <f>IF(Vertices[[#This Row],[Gender]]="F","Red","Blue")</f>
        <v>Blue</v>
      </c>
      <c r="C11" s="15">
        <f>IF(Vertices[[#This Row],[ACCT]]="x",2,IF(Vertices[[#This Row],[IE]]="x",10,IF(Vertices[[#This Row],[MS-MIS]]="x",7,IF(Vertices[[#This Row],[MBA]]="x",9,5))))</f>
        <v>2</v>
      </c>
      <c r="D11" s="71">
        <f>10</f>
        <v>10</v>
      </c>
      <c r="E11" s="72"/>
      <c r="F11" s="15"/>
      <c r="G11" s="15"/>
      <c r="H11" s="58" t="str">
        <f>Vertices[[#This Row],[Status]]</f>
        <v>FT</v>
      </c>
      <c r="I11" s="58"/>
      <c r="J11" s="58"/>
      <c r="K11" s="16"/>
      <c r="L11" s="73"/>
      <c r="M11" s="74">
        <v>2929.973876953125</v>
      </c>
      <c r="N11" s="74">
        <v>3773.410888671875</v>
      </c>
      <c r="O11" s="69"/>
      <c r="P11" s="75"/>
      <c r="Q11" s="75"/>
      <c r="R11" s="76"/>
      <c r="S11" s="76"/>
      <c r="T11" s="76"/>
      <c r="U11" s="76"/>
      <c r="V11" s="77"/>
      <c r="W11" s="77"/>
      <c r="X11" s="77"/>
      <c r="Y11" s="77"/>
      <c r="Z11" s="49"/>
      <c r="AA11" s="78">
        <v>12</v>
      </c>
      <c r="AB11" s="78"/>
      <c r="AC11" s="81" t="s">
        <v>177</v>
      </c>
      <c r="AD11" s="80" t="s">
        <v>178</v>
      </c>
      <c r="AE11" s="80" t="s">
        <v>176</v>
      </c>
      <c r="AF11" s="80" t="s">
        <v>175</v>
      </c>
      <c r="AG11" s="80" t="s">
        <v>175</v>
      </c>
      <c r="AH11" s="80" t="s">
        <v>175</v>
      </c>
      <c r="AI11" s="79">
        <v>1</v>
      </c>
      <c r="AJ11" s="3" t="str">
        <f>IF(Vertices[[#This Row],[ACCT]]="x",Vertices[[#Headers],[ACCT]],IF(Vertices[[#This Row],[IE]]="x",Vertices[[#Headers],[IE]],IF(Vertices[[#This Row],[MS-MIS]]="x",Vertices[[#Headers],[MS-MIS]],Vertices[[#Headers],[MBA]])))</f>
        <v>ACCT</v>
      </c>
    </row>
    <row r="12" spans="1:36" x14ac:dyDescent="0.25">
      <c r="A12" s="70" t="s">
        <v>204</v>
      </c>
      <c r="B12" s="15" t="str">
        <f>IF(Vertices[[#This Row],[Gender]]="F","Red","Blue")</f>
        <v>Red</v>
      </c>
      <c r="C12" s="15">
        <f>IF(Vertices[[#This Row],[ACCT]]="x",2,IF(Vertices[[#This Row],[IE]]="x",10,IF(Vertices[[#This Row],[MS-MIS]]="x",7,IF(Vertices[[#This Row],[MBA]]="x",9,5))))</f>
        <v>9</v>
      </c>
      <c r="D12" s="71">
        <f>10</f>
        <v>10</v>
      </c>
      <c r="E12" s="72"/>
      <c r="F12" s="15"/>
      <c r="G12" s="15"/>
      <c r="H12" s="58" t="str">
        <f>Vertices[[#This Row],[Status]]</f>
        <v>PT</v>
      </c>
      <c r="I12" s="58"/>
      <c r="J12" s="58"/>
      <c r="K12" s="16"/>
      <c r="L12" s="73"/>
      <c r="M12" s="74">
        <v>6497.04150390625</v>
      </c>
      <c r="N12" s="74">
        <v>6224.19091796875</v>
      </c>
      <c r="O12" s="69"/>
      <c r="P12" s="75"/>
      <c r="Q12" s="75"/>
      <c r="R12" s="76"/>
      <c r="S12" s="76"/>
      <c r="T12" s="76"/>
      <c r="U12" s="76"/>
      <c r="V12" s="77"/>
      <c r="W12" s="77"/>
      <c r="X12" s="77"/>
      <c r="Y12" s="77"/>
      <c r="Z12" s="49"/>
      <c r="AA12" s="78">
        <v>14</v>
      </c>
      <c r="AB12" s="78"/>
      <c r="AC12" s="81" t="s">
        <v>173</v>
      </c>
      <c r="AD12" s="80" t="s">
        <v>174</v>
      </c>
      <c r="AE12" s="80" t="s">
        <v>175</v>
      </c>
      <c r="AF12" s="80" t="s">
        <v>175</v>
      </c>
      <c r="AG12" s="80" t="s">
        <v>175</v>
      </c>
      <c r="AH12" s="80" t="s">
        <v>176</v>
      </c>
      <c r="AI12" s="79">
        <v>8</v>
      </c>
      <c r="AJ12" s="3" t="str">
        <f>IF(Vertices[[#This Row],[ACCT]]="x",Vertices[[#Headers],[ACCT]],IF(Vertices[[#This Row],[IE]]="x",Vertices[[#Headers],[IE]],IF(Vertices[[#This Row],[MS-MIS]]="x",Vertices[[#Headers],[MS-MIS]],Vertices[[#Headers],[MBA]])))</f>
        <v>MBA</v>
      </c>
    </row>
    <row r="13" spans="1:36" x14ac:dyDescent="0.25">
      <c r="A13" s="70" t="s">
        <v>214</v>
      </c>
      <c r="B13" s="15" t="str">
        <f>IF(Vertices[[#This Row],[Gender]]="F","Red","Blue")</f>
        <v>Blue</v>
      </c>
      <c r="C13" s="15">
        <f>IF(Vertices[[#This Row],[ACCT]]="x",2,IF(Vertices[[#This Row],[IE]]="x",10,IF(Vertices[[#This Row],[MS-MIS]]="x",7,IF(Vertices[[#This Row],[MBA]]="x",9,5))))</f>
        <v>7</v>
      </c>
      <c r="D13" s="71">
        <f>10</f>
        <v>10</v>
      </c>
      <c r="E13" s="72"/>
      <c r="F13" s="15"/>
      <c r="G13" s="15"/>
      <c r="H13" s="58" t="str">
        <f>Vertices[[#This Row],[Status]]</f>
        <v>PT</v>
      </c>
      <c r="I13" s="58"/>
      <c r="J13" s="58"/>
      <c r="K13" s="16"/>
      <c r="L13" s="73"/>
      <c r="M13" s="74">
        <v>8787.7080078125</v>
      </c>
      <c r="N13" s="74">
        <v>2935.4873046875</v>
      </c>
      <c r="O13" s="69"/>
      <c r="P13" s="75"/>
      <c r="Q13" s="75"/>
      <c r="R13" s="76"/>
      <c r="S13" s="76"/>
      <c r="T13" s="76"/>
      <c r="U13" s="76"/>
      <c r="V13" s="77"/>
      <c r="W13" s="77"/>
      <c r="X13" s="77"/>
      <c r="Y13" s="77"/>
      <c r="Z13" s="49"/>
      <c r="AA13" s="78">
        <v>16</v>
      </c>
      <c r="AB13" s="78"/>
      <c r="AC13" s="81" t="s">
        <v>177</v>
      </c>
      <c r="AD13" s="80" t="s">
        <v>174</v>
      </c>
      <c r="AE13" s="80" t="s">
        <v>175</v>
      </c>
      <c r="AF13" s="80" t="s">
        <v>175</v>
      </c>
      <c r="AG13" s="80" t="s">
        <v>176</v>
      </c>
      <c r="AH13" s="80" t="s">
        <v>176</v>
      </c>
      <c r="AI13" s="79">
        <v>6</v>
      </c>
      <c r="AJ13" s="3" t="str">
        <f>IF(Vertices[[#This Row],[ACCT]]="x",Vertices[[#Headers],[ACCT]],IF(Vertices[[#This Row],[IE]]="x",Vertices[[#Headers],[IE]],IF(Vertices[[#This Row],[MS-MIS]]="x",Vertices[[#Headers],[MS-MIS]],Vertices[[#Headers],[MBA]])))</f>
        <v>MS-MIS</v>
      </c>
    </row>
    <row r="14" spans="1:36" x14ac:dyDescent="0.25">
      <c r="A14" s="70" t="s">
        <v>230</v>
      </c>
      <c r="B14" s="15" t="str">
        <f>IF(Vertices[[#This Row],[Gender]]="F","Red","Blue")</f>
        <v>Blue</v>
      </c>
      <c r="C14" s="15">
        <f>IF(Vertices[[#This Row],[ACCT]]="x",2,IF(Vertices[[#This Row],[IE]]="x",10,IF(Vertices[[#This Row],[MS-MIS]]="x",7,IF(Vertices[[#This Row],[MBA]]="x",9,5))))</f>
        <v>9</v>
      </c>
      <c r="D14" s="71">
        <f>10</f>
        <v>10</v>
      </c>
      <c r="E14" s="72"/>
      <c r="F14" s="15"/>
      <c r="G14" s="15"/>
      <c r="H14" s="58" t="str">
        <f>Vertices[[#This Row],[Status]]</f>
        <v>PT</v>
      </c>
      <c r="I14" s="58"/>
      <c r="J14" s="58"/>
      <c r="K14" s="16"/>
      <c r="L14" s="73"/>
      <c r="M14" s="74">
        <v>7826.46826171875</v>
      </c>
      <c r="N14" s="74">
        <v>5631.14208984375</v>
      </c>
      <c r="O14" s="69"/>
      <c r="P14" s="75"/>
      <c r="Q14" s="75"/>
      <c r="R14" s="76"/>
      <c r="S14" s="76"/>
      <c r="T14" s="76"/>
      <c r="U14" s="76"/>
      <c r="V14" s="77"/>
      <c r="W14" s="77"/>
      <c r="X14" s="77"/>
      <c r="Y14" s="77"/>
      <c r="Z14" s="49"/>
      <c r="AA14" s="78">
        <v>15</v>
      </c>
      <c r="AB14" s="78"/>
      <c r="AC14" s="81" t="s">
        <v>177</v>
      </c>
      <c r="AD14" s="80" t="s">
        <v>174</v>
      </c>
      <c r="AE14" s="80" t="s">
        <v>175</v>
      </c>
      <c r="AF14" s="80" t="s">
        <v>175</v>
      </c>
      <c r="AG14" s="80" t="s">
        <v>175</v>
      </c>
      <c r="AH14" s="80" t="s">
        <v>176</v>
      </c>
      <c r="AI14" s="79">
        <v>2</v>
      </c>
      <c r="AJ14" s="3" t="str">
        <f>IF(Vertices[[#This Row],[ACCT]]="x",Vertices[[#Headers],[ACCT]],IF(Vertices[[#This Row],[IE]]="x",Vertices[[#Headers],[IE]],IF(Vertices[[#This Row],[MS-MIS]]="x",Vertices[[#Headers],[MS-MIS]],Vertices[[#Headers],[MBA]])))</f>
        <v>MBA</v>
      </c>
    </row>
    <row r="15" spans="1:36" x14ac:dyDescent="0.25">
      <c r="A15" s="70" t="s">
        <v>190</v>
      </c>
      <c r="B15" s="15" t="str">
        <f>IF(Vertices[[#This Row],[Gender]]="F","Red","Blue")</f>
        <v>Blue</v>
      </c>
      <c r="C15" s="15">
        <f>IF(Vertices[[#This Row],[ACCT]]="x",2,IF(Vertices[[#This Row],[IE]]="x",10,IF(Vertices[[#This Row],[MS-MIS]]="x",7,IF(Vertices[[#This Row],[MBA]]="x",9,5))))</f>
        <v>7</v>
      </c>
      <c r="D15" s="71">
        <f>10</f>
        <v>10</v>
      </c>
      <c r="E15" s="72"/>
      <c r="F15" s="15"/>
      <c r="G15" s="15"/>
      <c r="H15" s="58" t="str">
        <f>Vertices[[#This Row],[Status]]</f>
        <v>FT</v>
      </c>
      <c r="I15" s="58"/>
      <c r="J15" s="58"/>
      <c r="K15" s="16"/>
      <c r="L15" s="73"/>
      <c r="M15" s="74">
        <v>8005.43701171875</v>
      </c>
      <c r="N15" s="74">
        <v>2744.49658203125</v>
      </c>
      <c r="O15" s="69"/>
      <c r="P15" s="75"/>
      <c r="Q15" s="75"/>
      <c r="R15" s="76"/>
      <c r="S15" s="76"/>
      <c r="T15" s="76"/>
      <c r="U15" s="76"/>
      <c r="V15" s="77"/>
      <c r="W15" s="77"/>
      <c r="X15" s="77"/>
      <c r="Y15" s="77"/>
      <c r="Z15" s="49"/>
      <c r="AA15" s="78">
        <v>13</v>
      </c>
      <c r="AB15" s="78"/>
      <c r="AC15" s="81" t="s">
        <v>177</v>
      </c>
      <c r="AD15" s="80" t="s">
        <v>178</v>
      </c>
      <c r="AE15" s="80" t="s">
        <v>175</v>
      </c>
      <c r="AF15" s="80" t="s">
        <v>175</v>
      </c>
      <c r="AG15" s="80" t="s">
        <v>176</v>
      </c>
      <c r="AH15" s="80" t="s">
        <v>176</v>
      </c>
      <c r="AI15" s="79">
        <v>5</v>
      </c>
      <c r="AJ15" s="3" t="str">
        <f>IF(Vertices[[#This Row],[ACCT]]="x",Vertices[[#Headers],[ACCT]],IF(Vertices[[#This Row],[IE]]="x",Vertices[[#Headers],[IE]],IF(Vertices[[#This Row],[MS-MIS]]="x",Vertices[[#Headers],[MS-MIS]],Vertices[[#Headers],[MBA]])))</f>
        <v>MS-MIS</v>
      </c>
    </row>
    <row r="16" spans="1:36" x14ac:dyDescent="0.25">
      <c r="A16" s="70" t="s">
        <v>203</v>
      </c>
      <c r="B16" s="15" t="str">
        <f>IF(Vertices[[#This Row],[Gender]]="F","Red","Blue")</f>
        <v>Blue</v>
      </c>
      <c r="C16" s="15">
        <f>IF(Vertices[[#This Row],[ACCT]]="x",2,IF(Vertices[[#This Row],[IE]]="x",10,IF(Vertices[[#This Row],[MS-MIS]]="x",7,IF(Vertices[[#This Row],[MBA]]="x",9,5))))</f>
        <v>9</v>
      </c>
      <c r="D16" s="71">
        <f>10</f>
        <v>10</v>
      </c>
      <c r="E16" s="72"/>
      <c r="F16" s="15"/>
      <c r="G16" s="15"/>
      <c r="H16" s="58" t="str">
        <f>Vertices[[#This Row],[Status]]</f>
        <v>FT</v>
      </c>
      <c r="I16" s="58"/>
      <c r="J16" s="58"/>
      <c r="K16" s="16"/>
      <c r="L16" s="73"/>
      <c r="M16" s="74">
        <v>7078.37841796875</v>
      </c>
      <c r="N16" s="74">
        <v>4739.38623046875</v>
      </c>
      <c r="O16" s="69"/>
      <c r="P16" s="75"/>
      <c r="Q16" s="75"/>
      <c r="R16" s="76"/>
      <c r="S16" s="76"/>
      <c r="T16" s="76"/>
      <c r="U16" s="76"/>
      <c r="V16" s="77"/>
      <c r="W16" s="77"/>
      <c r="X16" s="77"/>
      <c r="Y16" s="77"/>
      <c r="Z16" s="49"/>
      <c r="AA16" s="78">
        <v>20</v>
      </c>
      <c r="AB16" s="78"/>
      <c r="AC16" s="81" t="s">
        <v>177</v>
      </c>
      <c r="AD16" s="80" t="s">
        <v>178</v>
      </c>
      <c r="AE16" s="80" t="s">
        <v>175</v>
      </c>
      <c r="AF16" s="80" t="s">
        <v>175</v>
      </c>
      <c r="AG16" s="80" t="s">
        <v>175</v>
      </c>
      <c r="AH16" s="80" t="s">
        <v>176</v>
      </c>
      <c r="AI16" s="79">
        <v>8</v>
      </c>
      <c r="AJ16" s="3" t="str">
        <f>IF(Vertices[[#This Row],[ACCT]]="x",Vertices[[#Headers],[ACCT]],IF(Vertices[[#This Row],[IE]]="x",Vertices[[#Headers],[IE]],IF(Vertices[[#This Row],[MS-MIS]]="x",Vertices[[#Headers],[MS-MIS]],Vertices[[#Headers],[MBA]])))</f>
        <v>MBA</v>
      </c>
    </row>
    <row r="17" spans="1:36" x14ac:dyDescent="0.25">
      <c r="A17" s="70" t="s">
        <v>202</v>
      </c>
      <c r="B17" s="15" t="str">
        <f>IF(Vertices[[#This Row],[Gender]]="F","Red","Blue")</f>
        <v>Blue</v>
      </c>
      <c r="C17" s="15">
        <f>IF(Vertices[[#This Row],[ACCT]]="x",2,IF(Vertices[[#This Row],[IE]]="x",10,IF(Vertices[[#This Row],[MS-MIS]]="x",7,IF(Vertices[[#This Row],[MBA]]="x",9,5))))</f>
        <v>9</v>
      </c>
      <c r="D17" s="71">
        <f>10</f>
        <v>10</v>
      </c>
      <c r="E17" s="72"/>
      <c r="F17" s="15"/>
      <c r="G17" s="15"/>
      <c r="H17" s="58" t="str">
        <f>Vertices[[#This Row],[Status]]</f>
        <v>PT</v>
      </c>
      <c r="I17" s="58"/>
      <c r="J17" s="58"/>
      <c r="K17" s="16"/>
      <c r="L17" s="73"/>
      <c r="M17" s="74">
        <v>6566.26220703125</v>
      </c>
      <c r="N17" s="74">
        <v>7352.25732421875</v>
      </c>
      <c r="O17" s="69"/>
      <c r="P17" s="75"/>
      <c r="Q17" s="75"/>
      <c r="R17" s="76"/>
      <c r="S17" s="76"/>
      <c r="T17" s="76"/>
      <c r="U17" s="76"/>
      <c r="V17" s="77"/>
      <c r="W17" s="77"/>
      <c r="X17" s="77"/>
      <c r="Y17" s="77"/>
      <c r="Z17" s="49"/>
      <c r="AA17" s="78">
        <v>22</v>
      </c>
      <c r="AB17" s="78"/>
      <c r="AC17" s="81" t="s">
        <v>177</v>
      </c>
      <c r="AD17" s="80" t="s">
        <v>174</v>
      </c>
      <c r="AE17" s="80" t="s">
        <v>175</v>
      </c>
      <c r="AF17" s="80" t="s">
        <v>175</v>
      </c>
      <c r="AG17" s="80" t="s">
        <v>175</v>
      </c>
      <c r="AH17" s="80" t="s">
        <v>176</v>
      </c>
      <c r="AI17" s="79">
        <v>9</v>
      </c>
      <c r="AJ17" s="3" t="str">
        <f>IF(Vertices[[#This Row],[ACCT]]="x",Vertices[[#Headers],[ACCT]],IF(Vertices[[#This Row],[IE]]="x",Vertices[[#Headers],[IE]],IF(Vertices[[#This Row],[MS-MIS]]="x",Vertices[[#Headers],[MS-MIS]],Vertices[[#Headers],[MBA]])))</f>
        <v>MBA</v>
      </c>
    </row>
    <row r="18" spans="1:36" x14ac:dyDescent="0.25">
      <c r="A18" s="70" t="s">
        <v>210</v>
      </c>
      <c r="B18" s="15" t="str">
        <f>IF(Vertices[[#This Row],[Gender]]="F","Red","Blue")</f>
        <v>Blue</v>
      </c>
      <c r="C18" s="15">
        <f>IF(Vertices[[#This Row],[ACCT]]="x",2,IF(Vertices[[#This Row],[IE]]="x",10,IF(Vertices[[#This Row],[MS-MIS]]="x",7,IF(Vertices[[#This Row],[MBA]]="x",9,5))))</f>
        <v>9</v>
      </c>
      <c r="D18" s="71">
        <f>10</f>
        <v>10</v>
      </c>
      <c r="E18" s="72"/>
      <c r="F18" s="15"/>
      <c r="G18" s="15"/>
      <c r="H18" s="58" t="str">
        <f>Vertices[[#This Row],[Status]]</f>
        <v>PT</v>
      </c>
      <c r="I18" s="58"/>
      <c r="J18" s="58"/>
      <c r="K18" s="16"/>
      <c r="L18" s="73"/>
      <c r="M18" s="74">
        <v>4989.75830078125</v>
      </c>
      <c r="N18" s="74">
        <v>9705.267578125</v>
      </c>
      <c r="O18" s="69"/>
      <c r="P18" s="75"/>
      <c r="Q18" s="75"/>
      <c r="R18" s="76"/>
      <c r="S18" s="76"/>
      <c r="T18" s="76"/>
      <c r="U18" s="76"/>
      <c r="V18" s="77"/>
      <c r="W18" s="77"/>
      <c r="X18" s="77"/>
      <c r="Y18" s="77"/>
      <c r="Z18" s="49"/>
      <c r="AA18" s="78">
        <v>17</v>
      </c>
      <c r="AB18" s="78"/>
      <c r="AC18" s="81" t="s">
        <v>177</v>
      </c>
      <c r="AD18" s="80" t="s">
        <v>174</v>
      </c>
      <c r="AE18" s="80" t="s">
        <v>175</v>
      </c>
      <c r="AF18" s="80" t="s">
        <v>175</v>
      </c>
      <c r="AG18" s="80" t="s">
        <v>175</v>
      </c>
      <c r="AH18" s="80" t="s">
        <v>176</v>
      </c>
      <c r="AI18" s="79">
        <v>9</v>
      </c>
      <c r="AJ18" s="3" t="str">
        <f>IF(Vertices[[#This Row],[ACCT]]="x",Vertices[[#Headers],[ACCT]],IF(Vertices[[#This Row],[IE]]="x",Vertices[[#Headers],[IE]],IF(Vertices[[#This Row],[MS-MIS]]="x",Vertices[[#Headers],[MS-MIS]],Vertices[[#Headers],[MBA]])))</f>
        <v>MBA</v>
      </c>
    </row>
    <row r="19" spans="1:36" x14ac:dyDescent="0.25">
      <c r="A19" s="70" t="s">
        <v>221</v>
      </c>
      <c r="B19" s="15" t="str">
        <f>IF(Vertices[[#This Row],[Gender]]="F","Red","Blue")</f>
        <v>Blue</v>
      </c>
      <c r="C19" s="15">
        <f>IF(Vertices[[#This Row],[ACCT]]="x",2,IF(Vertices[[#This Row],[IE]]="x",10,IF(Vertices[[#This Row],[MS-MIS]]="x",7,IF(Vertices[[#This Row],[MBA]]="x",9,5))))</f>
        <v>9</v>
      </c>
      <c r="D19" s="71">
        <f>10</f>
        <v>10</v>
      </c>
      <c r="E19" s="72"/>
      <c r="F19" s="15"/>
      <c r="G19" s="15"/>
      <c r="H19" s="58" t="str">
        <f>Vertices[[#This Row],[Status]]</f>
        <v>PT</v>
      </c>
      <c r="I19" s="58"/>
      <c r="J19" s="58"/>
      <c r="K19" s="16"/>
      <c r="L19" s="73"/>
      <c r="M19" s="74">
        <v>9789.9130859375</v>
      </c>
      <c r="N19" s="74">
        <v>3085.83203125</v>
      </c>
      <c r="O19" s="69"/>
      <c r="P19" s="75"/>
      <c r="Q19" s="75"/>
      <c r="R19" s="76"/>
      <c r="S19" s="76"/>
      <c r="T19" s="76"/>
      <c r="U19" s="76"/>
      <c r="V19" s="77"/>
      <c r="W19" s="77"/>
      <c r="X19" s="77"/>
      <c r="Y19" s="77"/>
      <c r="Z19" s="49"/>
      <c r="AA19" s="78">
        <v>18</v>
      </c>
      <c r="AB19" s="78"/>
      <c r="AC19" s="81" t="s">
        <v>177</v>
      </c>
      <c r="AD19" s="80" t="s">
        <v>174</v>
      </c>
      <c r="AE19" s="80" t="s">
        <v>175</v>
      </c>
      <c r="AF19" s="80" t="s">
        <v>175</v>
      </c>
      <c r="AG19" s="80" t="s">
        <v>175</v>
      </c>
      <c r="AH19" s="80" t="s">
        <v>176</v>
      </c>
      <c r="AI19" s="79">
        <v>6</v>
      </c>
      <c r="AJ19" s="3" t="str">
        <f>IF(Vertices[[#This Row],[ACCT]]="x",Vertices[[#Headers],[ACCT]],IF(Vertices[[#This Row],[IE]]="x",Vertices[[#Headers],[IE]],IF(Vertices[[#This Row],[MS-MIS]]="x",Vertices[[#Headers],[MS-MIS]],Vertices[[#Headers],[MBA]])))</f>
        <v>MBA</v>
      </c>
    </row>
    <row r="20" spans="1:36" x14ac:dyDescent="0.25">
      <c r="A20" s="70" t="s">
        <v>223</v>
      </c>
      <c r="B20" s="15" t="str">
        <f>IF(Vertices[[#This Row],[Gender]]="F","Red","Blue")</f>
        <v>Blue</v>
      </c>
      <c r="C20" s="15">
        <f>IF(Vertices[[#This Row],[ACCT]]="x",2,IF(Vertices[[#This Row],[IE]]="x",10,IF(Vertices[[#This Row],[MS-MIS]]="x",7,IF(Vertices[[#This Row],[MBA]]="x",9,5))))</f>
        <v>2</v>
      </c>
      <c r="D20" s="71">
        <f>10</f>
        <v>10</v>
      </c>
      <c r="E20" s="72"/>
      <c r="F20" s="15"/>
      <c r="G20" s="15"/>
      <c r="H20" s="58" t="str">
        <f>Vertices[[#This Row],[Status]]</f>
        <v>FT</v>
      </c>
      <c r="I20" s="58"/>
      <c r="J20" s="58"/>
      <c r="K20" s="16"/>
      <c r="L20" s="73"/>
      <c r="M20" s="74">
        <v>4965.98291015625</v>
      </c>
      <c r="N20" s="74">
        <v>9722.3330078125</v>
      </c>
      <c r="O20" s="69"/>
      <c r="P20" s="75"/>
      <c r="Q20" s="75"/>
      <c r="R20" s="76"/>
      <c r="S20" s="76"/>
      <c r="T20" s="76"/>
      <c r="U20" s="76"/>
      <c r="V20" s="77"/>
      <c r="W20" s="77"/>
      <c r="X20" s="77"/>
      <c r="Y20" s="77"/>
      <c r="Z20" s="49"/>
      <c r="AA20" s="78">
        <v>19</v>
      </c>
      <c r="AB20" s="78"/>
      <c r="AC20" s="81" t="s">
        <v>177</v>
      </c>
      <c r="AD20" s="80" t="s">
        <v>178</v>
      </c>
      <c r="AE20" s="80" t="s">
        <v>176</v>
      </c>
      <c r="AF20" s="80" t="s">
        <v>175</v>
      </c>
      <c r="AG20" s="80" t="s">
        <v>175</v>
      </c>
      <c r="AH20" s="80" t="s">
        <v>175</v>
      </c>
      <c r="AI20" s="79">
        <v>4</v>
      </c>
      <c r="AJ20" s="3" t="str">
        <f>IF(Vertices[[#This Row],[ACCT]]="x",Vertices[[#Headers],[ACCT]],IF(Vertices[[#This Row],[IE]]="x",Vertices[[#Headers],[IE]],IF(Vertices[[#This Row],[MS-MIS]]="x",Vertices[[#Headers],[MS-MIS]],Vertices[[#Headers],[MBA]])))</f>
        <v>ACCT</v>
      </c>
    </row>
    <row r="21" spans="1:36" x14ac:dyDescent="0.25">
      <c r="A21" s="70" t="s">
        <v>217</v>
      </c>
      <c r="B21" s="15" t="str">
        <f>IF(Vertices[[#This Row],[Gender]]="F","Red","Blue")</f>
        <v>Red</v>
      </c>
      <c r="C21" s="15">
        <f>IF(Vertices[[#This Row],[ACCT]]="x",2,IF(Vertices[[#This Row],[IE]]="x",10,IF(Vertices[[#This Row],[MS-MIS]]="x",7,IF(Vertices[[#This Row],[MBA]]="x",9,5))))</f>
        <v>10</v>
      </c>
      <c r="D21" s="71">
        <f>10</f>
        <v>10</v>
      </c>
      <c r="E21" s="72"/>
      <c r="F21" s="15"/>
      <c r="G21" s="15"/>
      <c r="H21" s="58" t="str">
        <f>Vertices[[#This Row],[Status]]</f>
        <v>FT</v>
      </c>
      <c r="I21" s="58"/>
      <c r="J21" s="58"/>
      <c r="K21" s="16"/>
      <c r="L21" s="73"/>
      <c r="M21" s="74">
        <v>7050.935546875</v>
      </c>
      <c r="N21" s="74">
        <v>305.59793090820313</v>
      </c>
      <c r="O21" s="69"/>
      <c r="P21" s="75"/>
      <c r="Q21" s="75"/>
      <c r="R21" s="76"/>
      <c r="S21" s="76"/>
      <c r="T21" s="76"/>
      <c r="U21" s="76"/>
      <c r="V21" s="77"/>
      <c r="W21" s="77"/>
      <c r="X21" s="77"/>
      <c r="Y21" s="77"/>
      <c r="Z21" s="49"/>
      <c r="AA21" s="78">
        <v>23</v>
      </c>
      <c r="AB21" s="78"/>
      <c r="AC21" s="81" t="s">
        <v>173</v>
      </c>
      <c r="AD21" s="80" t="s">
        <v>178</v>
      </c>
      <c r="AE21" s="80" t="s">
        <v>175</v>
      </c>
      <c r="AF21" s="80" t="s">
        <v>176</v>
      </c>
      <c r="AG21" s="80" t="s">
        <v>175</v>
      </c>
      <c r="AH21" s="80" t="s">
        <v>176</v>
      </c>
      <c r="AI21" s="79">
        <v>5</v>
      </c>
      <c r="AJ21" s="3" t="str">
        <f>IF(Vertices[[#This Row],[ACCT]]="x",Vertices[[#Headers],[ACCT]],IF(Vertices[[#This Row],[IE]]="x",Vertices[[#Headers],[IE]],IF(Vertices[[#This Row],[MS-MIS]]="x",Vertices[[#Headers],[MS-MIS]],Vertices[[#Headers],[MBA]])))</f>
        <v>IE</v>
      </c>
    </row>
    <row r="22" spans="1:36" x14ac:dyDescent="0.25">
      <c r="A22" s="70" t="s">
        <v>229</v>
      </c>
      <c r="B22" s="15" t="str">
        <f>IF(Vertices[[#This Row],[Gender]]="F","Red","Blue")</f>
        <v>Red</v>
      </c>
      <c r="C22" s="15">
        <f>IF(Vertices[[#This Row],[ACCT]]="x",2,IF(Vertices[[#This Row],[IE]]="x",10,IF(Vertices[[#This Row],[MS-MIS]]="x",7,IF(Vertices[[#This Row],[MBA]]="x",9,5))))</f>
        <v>9</v>
      </c>
      <c r="D22" s="71">
        <f>10</f>
        <v>10</v>
      </c>
      <c r="E22" s="72"/>
      <c r="F22" s="15"/>
      <c r="G22" s="15"/>
      <c r="H22" s="58" t="str">
        <f>Vertices[[#This Row],[Status]]</f>
        <v>FT</v>
      </c>
      <c r="I22" s="58"/>
      <c r="J22" s="58"/>
      <c r="K22" s="16"/>
      <c r="L22" s="73"/>
      <c r="M22" s="74">
        <v>9789.9130859375</v>
      </c>
      <c r="N22" s="74">
        <v>3436.491455078125</v>
      </c>
      <c r="O22" s="69"/>
      <c r="P22" s="75"/>
      <c r="Q22" s="75"/>
      <c r="R22" s="76"/>
      <c r="S22" s="76"/>
      <c r="T22" s="76"/>
      <c r="U22" s="76"/>
      <c r="V22" s="77"/>
      <c r="W22" s="77"/>
      <c r="X22" s="77"/>
      <c r="Y22" s="77"/>
      <c r="Z22" s="49"/>
      <c r="AA22" s="78">
        <v>24</v>
      </c>
      <c r="AB22" s="78"/>
      <c r="AC22" s="81" t="s">
        <v>173</v>
      </c>
      <c r="AD22" s="80" t="s">
        <v>178</v>
      </c>
      <c r="AE22" s="80" t="s">
        <v>175</v>
      </c>
      <c r="AF22" s="80" t="s">
        <v>175</v>
      </c>
      <c r="AG22" s="80" t="s">
        <v>175</v>
      </c>
      <c r="AH22" s="80" t="s">
        <v>176</v>
      </c>
      <c r="AI22" s="79">
        <v>5</v>
      </c>
      <c r="AJ22" s="3" t="str">
        <f>IF(Vertices[[#This Row],[ACCT]]="x",Vertices[[#Headers],[ACCT]],IF(Vertices[[#This Row],[IE]]="x",Vertices[[#Headers],[IE]],IF(Vertices[[#This Row],[MS-MIS]]="x",Vertices[[#Headers],[MS-MIS]],Vertices[[#Headers],[MBA]])))</f>
        <v>MBA</v>
      </c>
    </row>
    <row r="23" spans="1:36" x14ac:dyDescent="0.25">
      <c r="A23" s="70" t="s">
        <v>192</v>
      </c>
      <c r="B23" s="15" t="str">
        <f>IF(Vertices[[#This Row],[Gender]]="F","Red","Blue")</f>
        <v>Blue</v>
      </c>
      <c r="C23" s="15">
        <f>IF(Vertices[[#This Row],[ACCT]]="x",2,IF(Vertices[[#This Row],[IE]]="x",10,IF(Vertices[[#This Row],[MS-MIS]]="x",7,IF(Vertices[[#This Row],[MBA]]="x",9,5))))</f>
        <v>9</v>
      </c>
      <c r="D23" s="71">
        <f>10</f>
        <v>10</v>
      </c>
      <c r="E23" s="72"/>
      <c r="F23" s="15"/>
      <c r="G23" s="15"/>
      <c r="H23" s="58" t="str">
        <f>Vertices[[#This Row],[Status]]</f>
        <v>PT</v>
      </c>
      <c r="I23" s="58"/>
      <c r="J23" s="58"/>
      <c r="K23" s="16"/>
      <c r="L23" s="73"/>
      <c r="M23" s="74">
        <v>4112.2509765625</v>
      </c>
      <c r="N23" s="74">
        <v>4362.46240234375</v>
      </c>
      <c r="O23" s="69"/>
      <c r="P23" s="75"/>
      <c r="Q23" s="75"/>
      <c r="R23" s="76"/>
      <c r="S23" s="76"/>
      <c r="T23" s="76"/>
      <c r="U23" s="76"/>
      <c r="V23" s="77"/>
      <c r="W23" s="77"/>
      <c r="X23" s="77"/>
      <c r="Y23" s="77"/>
      <c r="Z23" s="49"/>
      <c r="AA23" s="78">
        <v>29</v>
      </c>
      <c r="AB23" s="78"/>
      <c r="AC23" s="81" t="s">
        <v>177</v>
      </c>
      <c r="AD23" s="80" t="s">
        <v>174</v>
      </c>
      <c r="AE23" s="80" t="s">
        <v>175</v>
      </c>
      <c r="AF23" s="80" t="s">
        <v>175</v>
      </c>
      <c r="AG23" s="80" t="s">
        <v>175</v>
      </c>
      <c r="AH23" s="80" t="s">
        <v>176</v>
      </c>
      <c r="AI23" s="79">
        <v>4</v>
      </c>
      <c r="AJ23" s="3" t="str">
        <f>IF(Vertices[[#This Row],[ACCT]]="x",Vertices[[#Headers],[ACCT]],IF(Vertices[[#This Row],[IE]]="x",Vertices[[#Headers],[IE]],IF(Vertices[[#This Row],[MS-MIS]]="x",Vertices[[#Headers],[MS-MIS]],Vertices[[#Headers],[MBA]])))</f>
        <v>MBA</v>
      </c>
    </row>
    <row r="24" spans="1:36" x14ac:dyDescent="0.25">
      <c r="A24" s="70" t="s">
        <v>231</v>
      </c>
      <c r="B24" s="15" t="str">
        <f>IF(Vertices[[#This Row],[Gender]]="F","Red","Blue")</f>
        <v>Red</v>
      </c>
      <c r="C24" s="15">
        <f>IF(Vertices[[#This Row],[ACCT]]="x",2,IF(Vertices[[#This Row],[IE]]="x",10,IF(Vertices[[#This Row],[MS-MIS]]="x",7,IF(Vertices[[#This Row],[MBA]]="x",9,5))))</f>
        <v>2</v>
      </c>
      <c r="D24" s="71">
        <f>10</f>
        <v>10</v>
      </c>
      <c r="E24" s="72"/>
      <c r="F24" s="15"/>
      <c r="G24" s="15"/>
      <c r="H24" s="58" t="str">
        <f>Vertices[[#This Row],[Status]]</f>
        <v>FT</v>
      </c>
      <c r="I24" s="58"/>
      <c r="J24" s="58"/>
      <c r="K24" s="16"/>
      <c r="L24" s="73"/>
      <c r="M24" s="74">
        <v>1870.361083984375</v>
      </c>
      <c r="N24" s="74">
        <v>1873.86279296875</v>
      </c>
      <c r="O24" s="69"/>
      <c r="P24" s="75"/>
      <c r="Q24" s="75"/>
      <c r="R24" s="76"/>
      <c r="S24" s="76"/>
      <c r="T24" s="76"/>
      <c r="U24" s="76"/>
      <c r="V24" s="77"/>
      <c r="W24" s="77"/>
      <c r="X24" s="77"/>
      <c r="Y24" s="77"/>
      <c r="Z24" s="49"/>
      <c r="AA24" s="78">
        <v>28</v>
      </c>
      <c r="AB24" s="78"/>
      <c r="AC24" s="81" t="s">
        <v>173</v>
      </c>
      <c r="AD24" s="80" t="s">
        <v>178</v>
      </c>
      <c r="AE24" s="80" t="s">
        <v>176</v>
      </c>
      <c r="AF24" s="80" t="s">
        <v>175</v>
      </c>
      <c r="AG24" s="80" t="s">
        <v>175</v>
      </c>
      <c r="AH24" s="80" t="s">
        <v>175</v>
      </c>
      <c r="AI24" s="79">
        <v>3</v>
      </c>
      <c r="AJ24" s="3" t="str">
        <f>IF(Vertices[[#This Row],[ACCT]]="x",Vertices[[#Headers],[ACCT]],IF(Vertices[[#This Row],[IE]]="x",Vertices[[#Headers],[IE]],IF(Vertices[[#This Row],[MS-MIS]]="x",Vertices[[#Headers],[MS-MIS]],Vertices[[#Headers],[MBA]])))</f>
        <v>ACCT</v>
      </c>
    </row>
    <row r="25" spans="1:36" x14ac:dyDescent="0.25">
      <c r="A25" s="70" t="s">
        <v>222</v>
      </c>
      <c r="B25" s="15" t="str">
        <f>IF(Vertices[[#This Row],[Gender]]="F","Red","Blue")</f>
        <v>Blue</v>
      </c>
      <c r="C25" s="15">
        <f>IF(Vertices[[#This Row],[ACCT]]="x",2,IF(Vertices[[#This Row],[IE]]="x",10,IF(Vertices[[#This Row],[MS-MIS]]="x",7,IF(Vertices[[#This Row],[MBA]]="x",9,5))))</f>
        <v>7</v>
      </c>
      <c r="D25" s="71">
        <f>10</f>
        <v>10</v>
      </c>
      <c r="E25" s="72"/>
      <c r="F25" s="15"/>
      <c r="G25" s="15"/>
      <c r="H25" s="58" t="str">
        <f>Vertices[[#This Row],[Status]]</f>
        <v>FT</v>
      </c>
      <c r="I25" s="58"/>
      <c r="J25" s="58"/>
      <c r="K25" s="16"/>
      <c r="L25" s="73"/>
      <c r="M25" s="74">
        <v>8659.1416015625</v>
      </c>
      <c r="N25" s="74">
        <v>1117.0550537109375</v>
      </c>
      <c r="O25" s="69"/>
      <c r="P25" s="75"/>
      <c r="Q25" s="75"/>
      <c r="R25" s="76"/>
      <c r="S25" s="76"/>
      <c r="T25" s="76"/>
      <c r="U25" s="76"/>
      <c r="V25" s="77"/>
      <c r="W25" s="77"/>
      <c r="X25" s="77"/>
      <c r="Y25" s="77"/>
      <c r="Z25" s="49"/>
      <c r="AA25" s="78">
        <v>30</v>
      </c>
      <c r="AB25" s="78"/>
      <c r="AC25" s="81" t="s">
        <v>177</v>
      </c>
      <c r="AD25" s="80" t="s">
        <v>178</v>
      </c>
      <c r="AE25" s="80" t="s">
        <v>175</v>
      </c>
      <c r="AF25" s="80" t="s">
        <v>175</v>
      </c>
      <c r="AG25" s="80" t="s">
        <v>176</v>
      </c>
      <c r="AH25" s="80" t="s">
        <v>176</v>
      </c>
      <c r="AI25" s="79">
        <v>5</v>
      </c>
      <c r="AJ25" s="3" t="str">
        <f>IF(Vertices[[#This Row],[ACCT]]="x",Vertices[[#Headers],[ACCT]],IF(Vertices[[#This Row],[IE]]="x",Vertices[[#Headers],[IE]],IF(Vertices[[#This Row],[MS-MIS]]="x",Vertices[[#Headers],[MS-MIS]],Vertices[[#Headers],[MBA]])))</f>
        <v>MS-MIS</v>
      </c>
    </row>
    <row r="26" spans="1:36" x14ac:dyDescent="0.25">
      <c r="A26" s="70" t="s">
        <v>199</v>
      </c>
      <c r="B26" s="15" t="str">
        <f>IF(Vertices[[#This Row],[Gender]]="F","Red","Blue")</f>
        <v>Blue</v>
      </c>
      <c r="C26" s="15">
        <f>IF(Vertices[[#This Row],[ACCT]]="x",2,IF(Vertices[[#This Row],[IE]]="x",10,IF(Vertices[[#This Row],[MS-MIS]]="x",7,IF(Vertices[[#This Row],[MBA]]="x",9,5))))</f>
        <v>5</v>
      </c>
      <c r="D26" s="71">
        <f>10</f>
        <v>10</v>
      </c>
      <c r="E26" s="72"/>
      <c r="F26" s="15"/>
      <c r="G26" s="15"/>
      <c r="H26" s="58" t="str">
        <f>Vertices[[#This Row],[Status]]</f>
        <v/>
      </c>
      <c r="I26" s="58"/>
      <c r="J26" s="58"/>
      <c r="K26" s="16"/>
      <c r="L26" s="73"/>
      <c r="M26" s="74">
        <v>4117.72314453125</v>
      </c>
      <c r="N26" s="74">
        <v>6802.6171875</v>
      </c>
      <c r="O26" s="69"/>
      <c r="P26" s="75"/>
      <c r="Q26" s="75"/>
      <c r="R26" s="76"/>
      <c r="S26" s="76"/>
      <c r="T26" s="76"/>
      <c r="U26" s="76"/>
      <c r="V26" s="77"/>
      <c r="W26" s="77"/>
      <c r="X26" s="77"/>
      <c r="Y26" s="77"/>
      <c r="Z26" s="49"/>
      <c r="AA26" s="78">
        <v>25</v>
      </c>
      <c r="AB26" s="78"/>
      <c r="AC26" s="81" t="s">
        <v>177</v>
      </c>
      <c r="AD26" s="80" t="s">
        <v>175</v>
      </c>
      <c r="AE26" s="80" t="s">
        <v>175</v>
      </c>
      <c r="AF26" s="80" t="s">
        <v>175</v>
      </c>
      <c r="AG26" s="80" t="s">
        <v>175</v>
      </c>
      <c r="AH26" s="80" t="s">
        <v>175</v>
      </c>
      <c r="AI26" s="79">
        <v>1</v>
      </c>
      <c r="AJ26" s="3" t="str">
        <f>IF(Vertices[[#This Row],[ACCT]]="x",Vertices[[#Headers],[ACCT]],IF(Vertices[[#This Row],[IE]]="x",Vertices[[#Headers],[IE]],IF(Vertices[[#This Row],[MS-MIS]]="x",Vertices[[#Headers],[MS-MIS]],Vertices[[#Headers],[MBA]])))</f>
        <v>MBA</v>
      </c>
    </row>
    <row r="27" spans="1:36" x14ac:dyDescent="0.25">
      <c r="A27" s="70" t="s">
        <v>232</v>
      </c>
      <c r="B27" s="15" t="str">
        <f>IF(Vertices[[#This Row],[Gender]]="F","Red","Blue")</f>
        <v>Blue</v>
      </c>
      <c r="C27" s="15">
        <f>IF(Vertices[[#This Row],[ACCT]]="x",2,IF(Vertices[[#This Row],[IE]]="x",10,IF(Vertices[[#This Row],[MS-MIS]]="x",7,IF(Vertices[[#This Row],[MBA]]="x",9,5))))</f>
        <v>2</v>
      </c>
      <c r="D27" s="71">
        <f>10</f>
        <v>10</v>
      </c>
      <c r="E27" s="72"/>
      <c r="F27" s="15"/>
      <c r="G27" s="15"/>
      <c r="H27" s="58" t="str">
        <f>Vertices[[#This Row],[Status]]</f>
        <v>FT</v>
      </c>
      <c r="I27" s="58"/>
      <c r="J27" s="58"/>
      <c r="K27" s="16"/>
      <c r="L27" s="73"/>
      <c r="M27" s="74">
        <v>3924.979248046875</v>
      </c>
      <c r="N27" s="74">
        <v>269.98660278320313</v>
      </c>
      <c r="O27" s="69"/>
      <c r="P27" s="75"/>
      <c r="Q27" s="75"/>
      <c r="R27" s="76"/>
      <c r="S27" s="76"/>
      <c r="T27" s="76"/>
      <c r="U27" s="76"/>
      <c r="V27" s="77"/>
      <c r="W27" s="77"/>
      <c r="X27" s="77"/>
      <c r="Y27" s="77"/>
      <c r="Z27" s="49"/>
      <c r="AA27" s="78">
        <v>27</v>
      </c>
      <c r="AB27" s="78"/>
      <c r="AC27" s="81" t="s">
        <v>177</v>
      </c>
      <c r="AD27" s="80" t="s">
        <v>178</v>
      </c>
      <c r="AE27" s="80" t="s">
        <v>176</v>
      </c>
      <c r="AF27" s="80" t="s">
        <v>175</v>
      </c>
      <c r="AG27" s="80" t="s">
        <v>175</v>
      </c>
      <c r="AH27" s="80" t="s">
        <v>175</v>
      </c>
      <c r="AI27" s="79">
        <v>6</v>
      </c>
      <c r="AJ27" s="3" t="str">
        <f>IF(Vertices[[#This Row],[ACCT]]="x",Vertices[[#Headers],[ACCT]],IF(Vertices[[#This Row],[IE]]="x",Vertices[[#Headers],[IE]],IF(Vertices[[#This Row],[MS-MIS]]="x",Vertices[[#Headers],[MS-MIS]],Vertices[[#Headers],[MBA]])))</f>
        <v>ACCT</v>
      </c>
    </row>
    <row r="28" spans="1:36" x14ac:dyDescent="0.25">
      <c r="A28" s="70" t="s">
        <v>206</v>
      </c>
      <c r="B28" s="15" t="str">
        <f>IF(Vertices[[#This Row],[Gender]]="F","Red","Blue")</f>
        <v>Blue</v>
      </c>
      <c r="C28" s="15">
        <f>IF(Vertices[[#This Row],[ACCT]]="x",2,IF(Vertices[[#This Row],[IE]]="x",10,IF(Vertices[[#This Row],[MS-MIS]]="x",7,IF(Vertices[[#This Row],[MBA]]="x",9,5))))</f>
        <v>9</v>
      </c>
      <c r="D28" s="71">
        <f>10</f>
        <v>10</v>
      </c>
      <c r="E28" s="72"/>
      <c r="F28" s="15"/>
      <c r="G28" s="15"/>
      <c r="H28" s="58" t="str">
        <f>Vertices[[#This Row],[Status]]</f>
        <v>PT</v>
      </c>
      <c r="I28" s="58"/>
      <c r="J28" s="58"/>
      <c r="K28" s="16"/>
      <c r="L28" s="73"/>
      <c r="M28" s="74">
        <v>8633.5439453125</v>
      </c>
      <c r="N28" s="74">
        <v>6919.20166015625</v>
      </c>
      <c r="O28" s="69"/>
      <c r="P28" s="75"/>
      <c r="Q28" s="75"/>
      <c r="R28" s="76"/>
      <c r="S28" s="76"/>
      <c r="T28" s="76"/>
      <c r="U28" s="76"/>
      <c r="V28" s="77"/>
      <c r="W28" s="77"/>
      <c r="X28" s="77"/>
      <c r="Y28" s="77"/>
      <c r="Z28" s="49"/>
      <c r="AA28" s="78">
        <v>31</v>
      </c>
      <c r="AB28" s="78"/>
      <c r="AC28" s="81" t="s">
        <v>177</v>
      </c>
      <c r="AD28" s="80" t="s">
        <v>174</v>
      </c>
      <c r="AE28" s="80" t="s">
        <v>175</v>
      </c>
      <c r="AF28" s="80" t="s">
        <v>175</v>
      </c>
      <c r="AG28" s="80" t="s">
        <v>175</v>
      </c>
      <c r="AH28" s="80" t="s">
        <v>176</v>
      </c>
      <c r="AI28" s="79">
        <v>10</v>
      </c>
      <c r="AJ28" s="3" t="str">
        <f>IF(Vertices[[#This Row],[ACCT]]="x",Vertices[[#Headers],[ACCT]],IF(Vertices[[#This Row],[IE]]="x",Vertices[[#Headers],[IE]],IF(Vertices[[#This Row],[MS-MIS]]="x",Vertices[[#Headers],[MS-MIS]],Vertices[[#Headers],[MBA]])))</f>
        <v>MBA</v>
      </c>
    </row>
    <row r="29" spans="1:36" x14ac:dyDescent="0.25">
      <c r="A29" s="70" t="s">
        <v>219</v>
      </c>
      <c r="B29" s="15" t="str">
        <f>IF(Vertices[[#This Row],[Gender]]="F","Red","Blue")</f>
        <v>Red</v>
      </c>
      <c r="C29" s="15">
        <f>IF(Vertices[[#This Row],[ACCT]]="x",2,IF(Vertices[[#This Row],[IE]]="x",10,IF(Vertices[[#This Row],[MS-MIS]]="x",7,IF(Vertices[[#This Row],[MBA]]="x",9,5))))</f>
        <v>5</v>
      </c>
      <c r="D29" s="71">
        <f>10</f>
        <v>10</v>
      </c>
      <c r="E29" s="72"/>
      <c r="F29" s="15"/>
      <c r="G29" s="15"/>
      <c r="H29" s="58" t="str">
        <f>Vertices[[#This Row],[Status]]</f>
        <v/>
      </c>
      <c r="I29" s="58"/>
      <c r="J29" s="58"/>
      <c r="K29" s="16"/>
      <c r="L29" s="73"/>
      <c r="M29" s="74">
        <v>9333.591796875</v>
      </c>
      <c r="N29" s="74">
        <v>5262.9912109375</v>
      </c>
      <c r="O29" s="69"/>
      <c r="P29" s="75"/>
      <c r="Q29" s="75"/>
      <c r="R29" s="76"/>
      <c r="S29" s="76"/>
      <c r="T29" s="76"/>
      <c r="U29" s="76"/>
      <c r="V29" s="77"/>
      <c r="W29" s="77"/>
      <c r="X29" s="77"/>
      <c r="Y29" s="77"/>
      <c r="Z29" s="49"/>
      <c r="AA29" s="78">
        <v>34</v>
      </c>
      <c r="AB29" s="78"/>
      <c r="AC29" s="81" t="s">
        <v>173</v>
      </c>
      <c r="AD29" s="80" t="s">
        <v>175</v>
      </c>
      <c r="AE29" s="80" t="s">
        <v>175</v>
      </c>
      <c r="AF29" s="80" t="s">
        <v>175</v>
      </c>
      <c r="AG29" s="80" t="s">
        <v>175</v>
      </c>
      <c r="AH29" s="80" t="s">
        <v>175</v>
      </c>
      <c r="AI29" s="79">
        <v>2</v>
      </c>
      <c r="AJ29" s="3" t="str">
        <f>IF(Vertices[[#This Row],[ACCT]]="x",Vertices[[#Headers],[ACCT]],IF(Vertices[[#This Row],[IE]]="x",Vertices[[#Headers],[IE]],IF(Vertices[[#This Row],[MS-MIS]]="x",Vertices[[#Headers],[MS-MIS]],Vertices[[#Headers],[MBA]])))</f>
        <v>MBA</v>
      </c>
    </row>
    <row r="30" spans="1:36" x14ac:dyDescent="0.25">
      <c r="A30" s="70" t="s">
        <v>233</v>
      </c>
      <c r="B30" s="15" t="str">
        <f>IF(Vertices[[#This Row],[Gender]]="F","Red","Blue")</f>
        <v>Red</v>
      </c>
      <c r="C30" s="15">
        <f>IF(Vertices[[#This Row],[ACCT]]="x",2,IF(Vertices[[#This Row],[IE]]="x",10,IF(Vertices[[#This Row],[MS-MIS]]="x",7,IF(Vertices[[#This Row],[MBA]]="x",9,5))))</f>
        <v>5</v>
      </c>
      <c r="D30" s="71">
        <f>10</f>
        <v>10</v>
      </c>
      <c r="E30" s="72"/>
      <c r="F30" s="15"/>
      <c r="G30" s="15"/>
      <c r="H30" s="58" t="str">
        <f>Vertices[[#This Row],[Status]]</f>
        <v/>
      </c>
      <c r="I30" s="58"/>
      <c r="J30" s="58"/>
      <c r="K30" s="16"/>
      <c r="L30" s="73"/>
      <c r="M30" s="74"/>
      <c r="N30" s="74"/>
      <c r="O30" s="69"/>
      <c r="P30" s="75"/>
      <c r="Q30" s="75"/>
      <c r="R30" s="76"/>
      <c r="S30" s="76"/>
      <c r="T30" s="76"/>
      <c r="U30" s="76"/>
      <c r="V30" s="77"/>
      <c r="W30" s="77"/>
      <c r="X30" s="77"/>
      <c r="Y30" s="77"/>
      <c r="Z30" s="49"/>
      <c r="AA30" s="78">
        <v>33</v>
      </c>
      <c r="AB30" s="78"/>
      <c r="AC30" s="81" t="s">
        <v>173</v>
      </c>
      <c r="AD30" s="80" t="s">
        <v>175</v>
      </c>
      <c r="AE30" s="80" t="s">
        <v>175</v>
      </c>
      <c r="AF30" s="80" t="s">
        <v>175</v>
      </c>
      <c r="AG30" s="80" t="s">
        <v>175</v>
      </c>
      <c r="AH30" s="80" t="s">
        <v>175</v>
      </c>
      <c r="AI30" s="82"/>
      <c r="AJ30" s="3" t="str">
        <f>IF(Vertices[[#This Row],[ACCT]]="x",Vertices[[#Headers],[ACCT]],IF(Vertices[[#This Row],[IE]]="x",Vertices[[#Headers],[IE]],IF(Vertices[[#This Row],[MS-MIS]]="x",Vertices[[#Headers],[MS-MIS]],Vertices[[#Headers],[MBA]])))</f>
        <v>MBA</v>
      </c>
    </row>
    <row r="31" spans="1:36" x14ac:dyDescent="0.25">
      <c r="A31" s="70" t="s">
        <v>195</v>
      </c>
      <c r="B31" s="15" t="str">
        <f>IF(Vertices[[#This Row],[Gender]]="F","Red","Blue")</f>
        <v>Blue</v>
      </c>
      <c r="C31" s="15">
        <f>IF(Vertices[[#This Row],[ACCT]]="x",2,IF(Vertices[[#This Row],[IE]]="x",10,IF(Vertices[[#This Row],[MS-MIS]]="x",7,IF(Vertices[[#This Row],[MBA]]="x",9,5))))</f>
        <v>2</v>
      </c>
      <c r="D31" s="71">
        <f>10</f>
        <v>10</v>
      </c>
      <c r="E31" s="72"/>
      <c r="F31" s="15"/>
      <c r="G31" s="15"/>
      <c r="H31" s="58" t="str">
        <f>Vertices[[#This Row],[Status]]</f>
        <v>FT</v>
      </c>
      <c r="I31" s="58"/>
      <c r="J31" s="58"/>
      <c r="K31" s="16"/>
      <c r="L31" s="73"/>
      <c r="M31" s="74">
        <v>2271.690673828125</v>
      </c>
      <c r="N31" s="74">
        <v>7718.599609375</v>
      </c>
      <c r="O31" s="69"/>
      <c r="P31" s="75"/>
      <c r="Q31" s="75"/>
      <c r="R31" s="76"/>
      <c r="S31" s="76"/>
      <c r="T31" s="76"/>
      <c r="U31" s="76"/>
      <c r="V31" s="77"/>
      <c r="W31" s="77"/>
      <c r="X31" s="77"/>
      <c r="Y31" s="77"/>
      <c r="Z31" s="49"/>
      <c r="AA31" s="78">
        <v>35</v>
      </c>
      <c r="AB31" s="78"/>
      <c r="AC31" s="81" t="s">
        <v>177</v>
      </c>
      <c r="AD31" s="80" t="s">
        <v>178</v>
      </c>
      <c r="AE31" s="80" t="s">
        <v>176</v>
      </c>
      <c r="AF31" s="80" t="s">
        <v>175</v>
      </c>
      <c r="AG31" s="80" t="s">
        <v>175</v>
      </c>
      <c r="AH31" s="80" t="s">
        <v>175</v>
      </c>
      <c r="AI31" s="79">
        <v>1</v>
      </c>
      <c r="AJ31" s="3" t="str">
        <f>IF(Vertices[[#This Row],[ACCT]]="x",Vertices[[#Headers],[ACCT]],IF(Vertices[[#This Row],[IE]]="x",Vertices[[#Headers],[IE]],IF(Vertices[[#This Row],[MS-MIS]]="x",Vertices[[#Headers],[MS-MIS]],Vertices[[#Headers],[MBA]])))</f>
        <v>ACCT</v>
      </c>
    </row>
    <row r="32" spans="1:36" x14ac:dyDescent="0.25">
      <c r="A32" s="70" t="s">
        <v>228</v>
      </c>
      <c r="B32" s="15" t="str">
        <f>IF(Vertices[[#This Row],[Gender]]="F","Red","Blue")</f>
        <v>Red</v>
      </c>
      <c r="C32" s="15">
        <f>IF(Vertices[[#This Row],[ACCT]]="x",2,IF(Vertices[[#This Row],[IE]]="x",10,IF(Vertices[[#This Row],[MS-MIS]]="x",7,IF(Vertices[[#This Row],[MBA]]="x",9,5))))</f>
        <v>2</v>
      </c>
      <c r="D32" s="71">
        <f>10</f>
        <v>10</v>
      </c>
      <c r="E32" s="72"/>
      <c r="F32" s="15"/>
      <c r="G32" s="15"/>
      <c r="H32" s="58" t="str">
        <f>Vertices[[#This Row],[Status]]</f>
        <v>FT</v>
      </c>
      <c r="I32" s="58"/>
      <c r="J32" s="58"/>
      <c r="K32" s="16"/>
      <c r="L32" s="73"/>
      <c r="M32" s="74">
        <v>209.08726501464844</v>
      </c>
      <c r="N32" s="74">
        <v>5808.29296875</v>
      </c>
      <c r="O32" s="69"/>
      <c r="P32" s="75"/>
      <c r="Q32" s="75"/>
      <c r="R32" s="76"/>
      <c r="S32" s="76"/>
      <c r="T32" s="76"/>
      <c r="U32" s="76"/>
      <c r="V32" s="77"/>
      <c r="W32" s="77"/>
      <c r="X32" s="77"/>
      <c r="Y32" s="77"/>
      <c r="Z32" s="49"/>
      <c r="AA32" s="78">
        <v>32</v>
      </c>
      <c r="AB32" s="78"/>
      <c r="AC32" s="81" t="s">
        <v>173</v>
      </c>
      <c r="AD32" s="80" t="s">
        <v>178</v>
      </c>
      <c r="AE32" s="80" t="s">
        <v>176</v>
      </c>
      <c r="AF32" s="80" t="s">
        <v>175</v>
      </c>
      <c r="AG32" s="80" t="s">
        <v>175</v>
      </c>
      <c r="AH32" s="80" t="s">
        <v>175</v>
      </c>
      <c r="AI32" s="79">
        <v>3</v>
      </c>
      <c r="AJ32" s="3" t="str">
        <f>IF(Vertices[[#This Row],[ACCT]]="x",Vertices[[#Headers],[ACCT]],IF(Vertices[[#This Row],[IE]]="x",Vertices[[#Headers],[IE]],IF(Vertices[[#This Row],[MS-MIS]]="x",Vertices[[#Headers],[MS-MIS]],Vertices[[#Headers],[MBA]])))</f>
        <v>ACCT</v>
      </c>
    </row>
    <row r="33" spans="1:36" x14ac:dyDescent="0.25">
      <c r="A33" s="70" t="s">
        <v>188</v>
      </c>
      <c r="B33" s="15" t="str">
        <f>IF(Vertices[[#This Row],[Gender]]="F","Red","Blue")</f>
        <v>Red</v>
      </c>
      <c r="C33" s="15">
        <f>IF(Vertices[[#This Row],[ACCT]]="x",2,IF(Vertices[[#This Row],[IE]]="x",10,IF(Vertices[[#This Row],[MS-MIS]]="x",7,IF(Vertices[[#This Row],[MBA]]="x",9,5))))</f>
        <v>7</v>
      </c>
      <c r="D33" s="71">
        <f>10</f>
        <v>10</v>
      </c>
      <c r="E33" s="72"/>
      <c r="F33" s="15"/>
      <c r="G33" s="15"/>
      <c r="H33" s="58" t="str">
        <f>Vertices[[#This Row],[Status]]</f>
        <v>FT</v>
      </c>
      <c r="I33" s="58"/>
      <c r="J33" s="58"/>
      <c r="K33" s="16"/>
      <c r="L33" s="73"/>
      <c r="M33" s="74">
        <v>8116.10986328125</v>
      </c>
      <c r="N33" s="74">
        <v>939.1998291015625</v>
      </c>
      <c r="O33" s="69"/>
      <c r="P33" s="75"/>
      <c r="Q33" s="75"/>
      <c r="R33" s="76"/>
      <c r="S33" s="76"/>
      <c r="T33" s="76"/>
      <c r="U33" s="76"/>
      <c r="V33" s="77"/>
      <c r="W33" s="77"/>
      <c r="X33" s="77"/>
      <c r="Y33" s="77"/>
      <c r="Z33" s="49"/>
      <c r="AA33" s="78">
        <v>36</v>
      </c>
      <c r="AB33" s="78"/>
      <c r="AC33" s="81" t="s">
        <v>173</v>
      </c>
      <c r="AD33" s="80" t="s">
        <v>178</v>
      </c>
      <c r="AE33" s="80" t="s">
        <v>175</v>
      </c>
      <c r="AF33" s="80" t="s">
        <v>175</v>
      </c>
      <c r="AG33" s="80" t="s">
        <v>176</v>
      </c>
      <c r="AH33" s="80" t="s">
        <v>176</v>
      </c>
      <c r="AI33" s="79">
        <v>2</v>
      </c>
      <c r="AJ33" s="3" t="str">
        <f>IF(Vertices[[#This Row],[ACCT]]="x",Vertices[[#Headers],[ACCT]],IF(Vertices[[#This Row],[IE]]="x",Vertices[[#Headers],[IE]],IF(Vertices[[#This Row],[MS-MIS]]="x",Vertices[[#Headers],[MS-MIS]],Vertices[[#Headers],[MBA]])))</f>
        <v>MS-MIS</v>
      </c>
    </row>
    <row r="34" spans="1:36" x14ac:dyDescent="0.25">
      <c r="A34" s="70" t="s">
        <v>196</v>
      </c>
      <c r="B34" s="15" t="str">
        <f>IF(Vertices[[#This Row],[Gender]]="F","Red","Blue")</f>
        <v>Red</v>
      </c>
      <c r="C34" s="15">
        <f>IF(Vertices[[#This Row],[ACCT]]="x",2,IF(Vertices[[#This Row],[IE]]="x",10,IF(Vertices[[#This Row],[MS-MIS]]="x",7,IF(Vertices[[#This Row],[MBA]]="x",9,5))))</f>
        <v>2</v>
      </c>
      <c r="D34" s="71">
        <f>10</f>
        <v>10</v>
      </c>
      <c r="E34" s="72"/>
      <c r="F34" s="15"/>
      <c r="G34" s="15"/>
      <c r="H34" s="58" t="str">
        <f>Vertices[[#This Row],[Status]]</f>
        <v>FT</v>
      </c>
      <c r="I34" s="58"/>
      <c r="J34" s="58"/>
      <c r="K34" s="16"/>
      <c r="L34" s="73"/>
      <c r="M34" s="74">
        <v>4222.99609375</v>
      </c>
      <c r="N34" s="74">
        <v>1803.0452880859375</v>
      </c>
      <c r="O34" s="69"/>
      <c r="P34" s="75"/>
      <c r="Q34" s="75"/>
      <c r="R34" s="76"/>
      <c r="S34" s="76"/>
      <c r="T34" s="76"/>
      <c r="U34" s="76"/>
      <c r="V34" s="77"/>
      <c r="W34" s="77"/>
      <c r="X34" s="77"/>
      <c r="Y34" s="77"/>
      <c r="Z34" s="49"/>
      <c r="AA34" s="78">
        <v>37</v>
      </c>
      <c r="AB34" s="78"/>
      <c r="AC34" s="81" t="s">
        <v>173</v>
      </c>
      <c r="AD34" s="80" t="s">
        <v>178</v>
      </c>
      <c r="AE34" s="80" t="s">
        <v>176</v>
      </c>
      <c r="AF34" s="80" t="s">
        <v>175</v>
      </c>
      <c r="AG34" s="80" t="s">
        <v>175</v>
      </c>
      <c r="AH34" s="80" t="s">
        <v>175</v>
      </c>
      <c r="AI34" s="79">
        <v>7</v>
      </c>
      <c r="AJ34" s="3" t="str">
        <f>IF(Vertices[[#This Row],[ACCT]]="x",Vertices[[#Headers],[ACCT]],IF(Vertices[[#This Row],[IE]]="x",Vertices[[#Headers],[IE]],IF(Vertices[[#This Row],[MS-MIS]]="x",Vertices[[#Headers],[MS-MIS]],Vertices[[#Headers],[MBA]])))</f>
        <v>ACCT</v>
      </c>
    </row>
    <row r="35" spans="1:36" x14ac:dyDescent="0.25">
      <c r="A35" s="70" t="s">
        <v>215</v>
      </c>
      <c r="B35" s="15" t="str">
        <f>IF(Vertices[[#This Row],[Gender]]="F","Red","Blue")</f>
        <v>Red</v>
      </c>
      <c r="C35" s="15">
        <f>IF(Vertices[[#This Row],[ACCT]]="x",2,IF(Vertices[[#This Row],[IE]]="x",10,IF(Vertices[[#This Row],[MS-MIS]]="x",7,IF(Vertices[[#This Row],[MBA]]="x",9,5))))</f>
        <v>2</v>
      </c>
      <c r="D35" s="71">
        <f>10</f>
        <v>10</v>
      </c>
      <c r="E35" s="72"/>
      <c r="F35" s="15"/>
      <c r="G35" s="15"/>
      <c r="H35" s="58" t="str">
        <f>Vertices[[#This Row],[Status]]</f>
        <v>FT</v>
      </c>
      <c r="I35" s="58"/>
      <c r="J35" s="58"/>
      <c r="K35" s="16"/>
      <c r="L35" s="73"/>
      <c r="M35" s="74">
        <v>4925.9609375</v>
      </c>
      <c r="N35" s="74">
        <v>4190.53515625</v>
      </c>
      <c r="O35" s="69"/>
      <c r="P35" s="75"/>
      <c r="Q35" s="75"/>
      <c r="R35" s="76"/>
      <c r="S35" s="76"/>
      <c r="T35" s="76"/>
      <c r="U35" s="76"/>
      <c r="V35" s="77"/>
      <c r="W35" s="77"/>
      <c r="X35" s="77"/>
      <c r="Y35" s="77"/>
      <c r="Z35" s="49"/>
      <c r="AA35" s="78">
        <v>42</v>
      </c>
      <c r="AB35" s="78"/>
      <c r="AC35" s="81" t="s">
        <v>173</v>
      </c>
      <c r="AD35" s="80" t="s">
        <v>178</v>
      </c>
      <c r="AE35" s="80" t="s">
        <v>176</v>
      </c>
      <c r="AF35" s="80" t="s">
        <v>175</v>
      </c>
      <c r="AG35" s="80" t="s">
        <v>175</v>
      </c>
      <c r="AH35" s="80" t="s">
        <v>175</v>
      </c>
      <c r="AI35" s="79">
        <v>6</v>
      </c>
      <c r="AJ35" s="3" t="str">
        <f>IF(Vertices[[#This Row],[ACCT]]="x",Vertices[[#Headers],[ACCT]],IF(Vertices[[#This Row],[IE]]="x",Vertices[[#Headers],[IE]],IF(Vertices[[#This Row],[MS-MIS]]="x",Vertices[[#Headers],[MS-MIS]],Vertices[[#Headers],[MBA]])))</f>
        <v>ACCT</v>
      </c>
    </row>
    <row r="36" spans="1:36" x14ac:dyDescent="0.25">
      <c r="A36" s="70" t="s">
        <v>225</v>
      </c>
      <c r="B36" s="15" t="str">
        <f>IF(Vertices[[#This Row],[Gender]]="F","Red","Blue")</f>
        <v>Blue</v>
      </c>
      <c r="C36" s="15">
        <f>IF(Vertices[[#This Row],[ACCT]]="x",2,IF(Vertices[[#This Row],[IE]]="x",10,IF(Vertices[[#This Row],[MS-MIS]]="x",7,IF(Vertices[[#This Row],[MBA]]="x",9,5))))</f>
        <v>9</v>
      </c>
      <c r="D36" s="71">
        <f>10</f>
        <v>10</v>
      </c>
      <c r="E36" s="72"/>
      <c r="F36" s="15"/>
      <c r="G36" s="15"/>
      <c r="H36" s="58" t="str">
        <f>Vertices[[#This Row],[Status]]</f>
        <v>PT</v>
      </c>
      <c r="I36" s="58"/>
      <c r="J36" s="58"/>
      <c r="K36" s="16"/>
      <c r="L36" s="73"/>
      <c r="M36" s="74">
        <v>9789.9130859375</v>
      </c>
      <c r="N36" s="74">
        <v>7484.60546875</v>
      </c>
      <c r="O36" s="69"/>
      <c r="P36" s="75"/>
      <c r="Q36" s="75"/>
      <c r="R36" s="76"/>
      <c r="S36" s="76"/>
      <c r="T36" s="76"/>
      <c r="U36" s="76"/>
      <c r="V36" s="77"/>
      <c r="W36" s="77"/>
      <c r="X36" s="77"/>
      <c r="Y36" s="77"/>
      <c r="Z36" s="49"/>
      <c r="AA36" s="78">
        <v>44</v>
      </c>
      <c r="AB36" s="78"/>
      <c r="AC36" s="81" t="s">
        <v>177</v>
      </c>
      <c r="AD36" s="80" t="s">
        <v>174</v>
      </c>
      <c r="AE36" s="80" t="s">
        <v>175</v>
      </c>
      <c r="AF36" s="80" t="s">
        <v>175</v>
      </c>
      <c r="AG36" s="80" t="s">
        <v>175</v>
      </c>
      <c r="AH36" s="80" t="s">
        <v>176</v>
      </c>
      <c r="AI36" s="79">
        <v>2</v>
      </c>
      <c r="AJ36" s="3" t="str">
        <f>IF(Vertices[[#This Row],[ACCT]]="x",Vertices[[#Headers],[ACCT]],IF(Vertices[[#This Row],[IE]]="x",Vertices[[#Headers],[IE]],IF(Vertices[[#This Row],[MS-MIS]]="x",Vertices[[#Headers],[MS-MIS]],Vertices[[#Headers],[MBA]])))</f>
        <v>MBA</v>
      </c>
    </row>
    <row r="37" spans="1:36" x14ac:dyDescent="0.25">
      <c r="A37" s="70" t="s">
        <v>189</v>
      </c>
      <c r="B37" s="15" t="str">
        <f>IF(Vertices[[#This Row],[Gender]]="F","Red","Blue")</f>
        <v>Blue</v>
      </c>
      <c r="C37" s="15">
        <f>IF(Vertices[[#This Row],[ACCT]]="x",2,IF(Vertices[[#This Row],[IE]]="x",10,IF(Vertices[[#This Row],[MS-MIS]]="x",7,IF(Vertices[[#This Row],[MBA]]="x",9,5))))</f>
        <v>7</v>
      </c>
      <c r="D37" s="71">
        <f>10</f>
        <v>10</v>
      </c>
      <c r="E37" s="72"/>
      <c r="F37" s="15"/>
      <c r="G37" s="15"/>
      <c r="H37" s="58" t="str">
        <f>Vertices[[#This Row],[Status]]</f>
        <v>FT</v>
      </c>
      <c r="I37" s="58"/>
      <c r="J37" s="58"/>
      <c r="K37" s="16"/>
      <c r="L37" s="73"/>
      <c r="M37" s="74">
        <v>5813.46826171875</v>
      </c>
      <c r="N37" s="74">
        <v>3045.683349609375</v>
      </c>
      <c r="O37" s="69"/>
      <c r="P37" s="75"/>
      <c r="Q37" s="75"/>
      <c r="R37" s="76"/>
      <c r="S37" s="76"/>
      <c r="T37" s="76"/>
      <c r="U37" s="76"/>
      <c r="V37" s="77"/>
      <c r="W37" s="77"/>
      <c r="X37" s="77"/>
      <c r="Y37" s="77"/>
      <c r="Z37" s="49"/>
      <c r="AA37" s="78">
        <v>46</v>
      </c>
      <c r="AB37" s="78"/>
      <c r="AC37" s="81" t="s">
        <v>177</v>
      </c>
      <c r="AD37" s="80" t="s">
        <v>178</v>
      </c>
      <c r="AE37" s="80" t="s">
        <v>175</v>
      </c>
      <c r="AF37" s="80" t="s">
        <v>175</v>
      </c>
      <c r="AG37" s="80" t="s">
        <v>176</v>
      </c>
      <c r="AH37" s="80" t="s">
        <v>176</v>
      </c>
      <c r="AI37" s="79">
        <v>2</v>
      </c>
      <c r="AJ37" s="3" t="str">
        <f>IF(Vertices[[#This Row],[ACCT]]="x",Vertices[[#Headers],[ACCT]],IF(Vertices[[#This Row],[IE]]="x",Vertices[[#Headers],[IE]],IF(Vertices[[#This Row],[MS-MIS]]="x",Vertices[[#Headers],[MS-MIS]],Vertices[[#Headers],[MBA]])))</f>
        <v>MS-MIS</v>
      </c>
    </row>
    <row r="38" spans="1:36" x14ac:dyDescent="0.25">
      <c r="A38" s="70" t="s">
        <v>193</v>
      </c>
      <c r="B38" s="15" t="str">
        <f>IF(Vertices[[#This Row],[Gender]]="F","Red","Blue")</f>
        <v>Red</v>
      </c>
      <c r="C38" s="15">
        <f>IF(Vertices[[#This Row],[ACCT]]="x",2,IF(Vertices[[#This Row],[IE]]="x",10,IF(Vertices[[#This Row],[MS-MIS]]="x",7,IF(Vertices[[#This Row],[MBA]]="x",9,5))))</f>
        <v>2</v>
      </c>
      <c r="D38" s="71">
        <f>10</f>
        <v>10</v>
      </c>
      <c r="E38" s="72"/>
      <c r="F38" s="15"/>
      <c r="G38" s="15"/>
      <c r="H38" s="58" t="str">
        <f>Vertices[[#This Row],[Status]]</f>
        <v>FT</v>
      </c>
      <c r="I38" s="58"/>
      <c r="J38" s="58"/>
      <c r="K38" s="16"/>
      <c r="L38" s="73"/>
      <c r="M38" s="74">
        <v>3288.785400390625</v>
      </c>
      <c r="N38" s="74">
        <v>2099.200927734375</v>
      </c>
      <c r="O38" s="69"/>
      <c r="P38" s="75"/>
      <c r="Q38" s="75"/>
      <c r="R38" s="76"/>
      <c r="S38" s="76"/>
      <c r="T38" s="76"/>
      <c r="U38" s="76"/>
      <c r="V38" s="77"/>
      <c r="W38" s="77"/>
      <c r="X38" s="77"/>
      <c r="Y38" s="77"/>
      <c r="Z38" s="49"/>
      <c r="AA38" s="78">
        <v>38</v>
      </c>
      <c r="AB38" s="78"/>
      <c r="AC38" s="81" t="s">
        <v>173</v>
      </c>
      <c r="AD38" s="80" t="s">
        <v>178</v>
      </c>
      <c r="AE38" s="80" t="s">
        <v>176</v>
      </c>
      <c r="AF38" s="80" t="s">
        <v>175</v>
      </c>
      <c r="AG38" s="80" t="s">
        <v>175</v>
      </c>
      <c r="AH38" s="80" t="s">
        <v>175</v>
      </c>
      <c r="AI38" s="79">
        <v>7</v>
      </c>
      <c r="AJ38" s="3" t="str">
        <f>IF(Vertices[[#This Row],[ACCT]]="x",Vertices[[#Headers],[ACCT]],IF(Vertices[[#This Row],[IE]]="x",Vertices[[#Headers],[IE]],IF(Vertices[[#This Row],[MS-MIS]]="x",Vertices[[#Headers],[MS-MIS]],Vertices[[#Headers],[MBA]])))</f>
        <v>ACCT</v>
      </c>
    </row>
    <row r="39" spans="1:36" x14ac:dyDescent="0.25">
      <c r="A39" s="70" t="s">
        <v>211</v>
      </c>
      <c r="B39" s="15" t="str">
        <f>IF(Vertices[[#This Row],[Gender]]="F","Red","Blue")</f>
        <v>Blue</v>
      </c>
      <c r="C39" s="15">
        <f>IF(Vertices[[#This Row],[ACCT]]="x",2,IF(Vertices[[#This Row],[IE]]="x",10,IF(Vertices[[#This Row],[MS-MIS]]="x",7,IF(Vertices[[#This Row],[MBA]]="x",9,5))))</f>
        <v>9</v>
      </c>
      <c r="D39" s="71">
        <f>10</f>
        <v>10</v>
      </c>
      <c r="E39" s="72"/>
      <c r="F39" s="15"/>
      <c r="G39" s="15"/>
      <c r="H39" s="58" t="str">
        <f>Vertices[[#This Row],[Status]]</f>
        <v>PT</v>
      </c>
      <c r="I39" s="58"/>
      <c r="J39" s="58"/>
      <c r="K39" s="16"/>
      <c r="L39" s="73"/>
      <c r="M39" s="74">
        <v>4517.25537109375</v>
      </c>
      <c r="N39" s="74">
        <v>8153.90576171875</v>
      </c>
      <c r="O39" s="69"/>
      <c r="P39" s="75"/>
      <c r="Q39" s="75"/>
      <c r="R39" s="76"/>
      <c r="S39" s="76"/>
      <c r="T39" s="76"/>
      <c r="U39" s="76"/>
      <c r="V39" s="77"/>
      <c r="W39" s="77"/>
      <c r="X39" s="77"/>
      <c r="Y39" s="77"/>
      <c r="Z39" s="49"/>
      <c r="AA39" s="78">
        <v>43</v>
      </c>
      <c r="AB39" s="78"/>
      <c r="AC39" s="81" t="s">
        <v>177</v>
      </c>
      <c r="AD39" s="80" t="s">
        <v>174</v>
      </c>
      <c r="AE39" s="80" t="s">
        <v>175</v>
      </c>
      <c r="AF39" s="80" t="s">
        <v>175</v>
      </c>
      <c r="AG39" s="80" t="s">
        <v>175</v>
      </c>
      <c r="AH39" s="80" t="s">
        <v>176</v>
      </c>
      <c r="AI39" s="79">
        <v>9</v>
      </c>
      <c r="AJ39" s="3" t="str">
        <f>IF(Vertices[[#This Row],[ACCT]]="x",Vertices[[#Headers],[ACCT]],IF(Vertices[[#This Row],[IE]]="x",Vertices[[#Headers],[IE]],IF(Vertices[[#This Row],[MS-MIS]]="x",Vertices[[#Headers],[MS-MIS]],Vertices[[#Headers],[MBA]])))</f>
        <v>MBA</v>
      </c>
    </row>
    <row r="40" spans="1:36" x14ac:dyDescent="0.25">
      <c r="A40" s="70" t="s">
        <v>224</v>
      </c>
      <c r="B40" s="15" t="str">
        <f>IF(Vertices[[#This Row],[Gender]]="F","Red","Blue")</f>
        <v>Red</v>
      </c>
      <c r="C40" s="15">
        <f>IF(Vertices[[#This Row],[ACCT]]="x",2,IF(Vertices[[#This Row],[IE]]="x",10,IF(Vertices[[#This Row],[MS-MIS]]="x",7,IF(Vertices[[#This Row],[MBA]]="x",9,5))))</f>
        <v>9</v>
      </c>
      <c r="D40" s="71">
        <f>10</f>
        <v>10</v>
      </c>
      <c r="E40" s="72"/>
      <c r="F40" s="15"/>
      <c r="G40" s="15"/>
      <c r="H40" s="58" t="str">
        <f>Vertices[[#This Row],[Status]]</f>
        <v>PT</v>
      </c>
      <c r="I40" s="58"/>
      <c r="J40" s="58"/>
      <c r="K40" s="16"/>
      <c r="L40" s="73"/>
      <c r="M40" s="74">
        <v>8521.3271484375</v>
      </c>
      <c r="N40" s="74">
        <v>8728.6708984375</v>
      </c>
      <c r="O40" s="69"/>
      <c r="P40" s="75"/>
      <c r="Q40" s="75"/>
      <c r="R40" s="76"/>
      <c r="S40" s="76"/>
      <c r="T40" s="76"/>
      <c r="U40" s="76"/>
      <c r="V40" s="77"/>
      <c r="W40" s="77"/>
      <c r="X40" s="77"/>
      <c r="Y40" s="77"/>
      <c r="Z40" s="49"/>
      <c r="AA40" s="78">
        <v>45</v>
      </c>
      <c r="AB40" s="78"/>
      <c r="AC40" s="81" t="s">
        <v>173</v>
      </c>
      <c r="AD40" s="80" t="s">
        <v>174</v>
      </c>
      <c r="AE40" s="80" t="s">
        <v>175</v>
      </c>
      <c r="AF40" s="80" t="s">
        <v>175</v>
      </c>
      <c r="AG40" s="80" t="s">
        <v>175</v>
      </c>
      <c r="AH40" s="80" t="s">
        <v>176</v>
      </c>
      <c r="AI40" s="79">
        <v>10</v>
      </c>
      <c r="AJ40" s="3" t="str">
        <f>IF(Vertices[[#This Row],[ACCT]]="x",Vertices[[#Headers],[ACCT]],IF(Vertices[[#This Row],[IE]]="x",Vertices[[#Headers],[IE]],IF(Vertices[[#This Row],[MS-MIS]]="x",Vertices[[#Headers],[MS-MIS]],Vertices[[#Headers],[MBA]])))</f>
        <v>MBA</v>
      </c>
    </row>
    <row r="41" spans="1:36" x14ac:dyDescent="0.25">
      <c r="A41" s="70" t="s">
        <v>207</v>
      </c>
      <c r="B41" s="15" t="str">
        <f>IF(Vertices[[#This Row],[Gender]]="F","Red","Blue")</f>
        <v>Blue</v>
      </c>
      <c r="C41" s="15">
        <f>IF(Vertices[[#This Row],[ACCT]]="x",2,IF(Vertices[[#This Row],[IE]]="x",10,IF(Vertices[[#This Row],[MS-MIS]]="x",7,IF(Vertices[[#This Row],[MBA]]="x",9,5))))</f>
        <v>9</v>
      </c>
      <c r="D41" s="71">
        <f>10</f>
        <v>10</v>
      </c>
      <c r="E41" s="72"/>
      <c r="F41" s="15"/>
      <c r="G41" s="15"/>
      <c r="H41" s="58" t="str">
        <f>Vertices[[#This Row],[Status]]</f>
        <v>FT</v>
      </c>
      <c r="I41" s="58"/>
      <c r="J41" s="58"/>
      <c r="K41" s="16"/>
      <c r="L41" s="73"/>
      <c r="M41" s="74">
        <v>6141.39892578125</v>
      </c>
      <c r="N41" s="74">
        <v>8110.2705078125</v>
      </c>
      <c r="O41" s="69"/>
      <c r="P41" s="75"/>
      <c r="Q41" s="75"/>
      <c r="R41" s="76"/>
      <c r="S41" s="76"/>
      <c r="T41" s="76"/>
      <c r="U41" s="76"/>
      <c r="V41" s="77"/>
      <c r="W41" s="77"/>
      <c r="X41" s="77"/>
      <c r="Y41" s="77"/>
      <c r="Z41" s="49"/>
      <c r="AA41" s="78">
        <v>48</v>
      </c>
      <c r="AB41" s="78"/>
      <c r="AC41" s="81" t="s">
        <v>177</v>
      </c>
      <c r="AD41" s="80" t="s">
        <v>178</v>
      </c>
      <c r="AE41" s="80" t="s">
        <v>175</v>
      </c>
      <c r="AF41" s="80" t="s">
        <v>175</v>
      </c>
      <c r="AG41" s="80" t="s">
        <v>175</v>
      </c>
      <c r="AH41" s="80" t="s">
        <v>176</v>
      </c>
      <c r="AI41" s="79">
        <v>9</v>
      </c>
      <c r="AJ41" s="3" t="str">
        <f>IF(Vertices[[#This Row],[ACCT]]="x",Vertices[[#Headers],[ACCT]],IF(Vertices[[#This Row],[IE]]="x",Vertices[[#Headers],[IE]],IF(Vertices[[#This Row],[MS-MIS]]="x",Vertices[[#Headers],[MS-MIS]],Vertices[[#Headers],[MBA]])))</f>
        <v>MBA</v>
      </c>
    </row>
    <row r="42" spans="1:36" x14ac:dyDescent="0.25">
      <c r="A42" s="70" t="s">
        <v>220</v>
      </c>
      <c r="B42" s="15" t="str">
        <f>IF(Vertices[[#This Row],[Gender]]="F","Red","Blue")</f>
        <v>Blue</v>
      </c>
      <c r="C42" s="15">
        <f>IF(Vertices[[#This Row],[ACCT]]="x",2,IF(Vertices[[#This Row],[IE]]="x",10,IF(Vertices[[#This Row],[MS-MIS]]="x",7,IF(Vertices[[#This Row],[MBA]]="x",9,5))))</f>
        <v>9</v>
      </c>
      <c r="D42" s="71">
        <f>10</f>
        <v>10</v>
      </c>
      <c r="E42" s="72"/>
      <c r="F42" s="15"/>
      <c r="G42" s="15"/>
      <c r="H42" s="58" t="str">
        <f>Vertices[[#This Row],[Status]]</f>
        <v>PT</v>
      </c>
      <c r="I42" s="58"/>
      <c r="J42" s="58"/>
      <c r="K42" s="16"/>
      <c r="L42" s="73"/>
      <c r="M42" s="74">
        <v>9768.2802734375</v>
      </c>
      <c r="N42" s="74">
        <v>7112.7763671875</v>
      </c>
      <c r="O42" s="69"/>
      <c r="P42" s="75"/>
      <c r="Q42" s="75"/>
      <c r="R42" s="76"/>
      <c r="S42" s="76"/>
      <c r="T42" s="76"/>
      <c r="U42" s="76"/>
      <c r="V42" s="77"/>
      <c r="W42" s="77"/>
      <c r="X42" s="77"/>
      <c r="Y42" s="77"/>
      <c r="Z42" s="49"/>
      <c r="AA42" s="78">
        <v>49</v>
      </c>
      <c r="AB42" s="78"/>
      <c r="AC42" s="81" t="s">
        <v>177</v>
      </c>
      <c r="AD42" s="80" t="s">
        <v>174</v>
      </c>
      <c r="AE42" s="80" t="s">
        <v>175</v>
      </c>
      <c r="AF42" s="80" t="s">
        <v>175</v>
      </c>
      <c r="AG42" s="80" t="s">
        <v>175</v>
      </c>
      <c r="AH42" s="80" t="s">
        <v>176</v>
      </c>
      <c r="AI42" s="79">
        <v>10</v>
      </c>
      <c r="AJ42" s="3" t="str">
        <f>IF(Vertices[[#This Row],[ACCT]]="x",Vertices[[#Headers],[ACCT]],IF(Vertices[[#This Row],[IE]]="x",Vertices[[#Headers],[IE]],IF(Vertices[[#This Row],[MS-MIS]]="x",Vertices[[#Headers],[MS-MIS]],Vertices[[#Headers],[MBA]])))</f>
        <v>MBA</v>
      </c>
    </row>
    <row r="43" spans="1:36" x14ac:dyDescent="0.25">
      <c r="A43" s="70" t="s">
        <v>216</v>
      </c>
      <c r="B43" s="15" t="str">
        <f>IF(Vertices[[#This Row],[Gender]]="F","Red","Blue")</f>
        <v>Blue</v>
      </c>
      <c r="C43" s="15">
        <f>IF(Vertices[[#This Row],[ACCT]]="x",2,IF(Vertices[[#This Row],[IE]]="x",10,IF(Vertices[[#This Row],[MS-MIS]]="x",7,IF(Vertices[[#This Row],[MBA]]="x",9,5))))</f>
        <v>2</v>
      </c>
      <c r="D43" s="71">
        <f>10</f>
        <v>10</v>
      </c>
      <c r="E43" s="72"/>
      <c r="F43" s="15"/>
      <c r="G43" s="15"/>
      <c r="H43" s="58" t="str">
        <f>Vertices[[#This Row],[Status]]</f>
        <v>FT</v>
      </c>
      <c r="I43" s="58"/>
      <c r="J43" s="58"/>
      <c r="K43" s="16"/>
      <c r="L43" s="73"/>
      <c r="M43" s="74">
        <v>1765.30908203125</v>
      </c>
      <c r="N43" s="74">
        <v>4188.71826171875</v>
      </c>
      <c r="O43" s="69"/>
      <c r="P43" s="75"/>
      <c r="Q43" s="75"/>
      <c r="R43" s="76"/>
      <c r="S43" s="76"/>
      <c r="T43" s="76"/>
      <c r="U43" s="76"/>
      <c r="V43" s="77"/>
      <c r="W43" s="77"/>
      <c r="X43" s="77"/>
      <c r="Y43" s="77"/>
      <c r="Z43" s="49"/>
      <c r="AA43" s="78">
        <v>50</v>
      </c>
      <c r="AB43" s="78"/>
      <c r="AC43" s="81" t="s">
        <v>177</v>
      </c>
      <c r="AD43" s="80" t="s">
        <v>178</v>
      </c>
      <c r="AE43" s="80" t="s">
        <v>176</v>
      </c>
      <c r="AF43" s="80" t="s">
        <v>175</v>
      </c>
      <c r="AG43" s="80" t="s">
        <v>175</v>
      </c>
      <c r="AH43" s="80" t="s">
        <v>175</v>
      </c>
      <c r="AI43" s="79">
        <v>3</v>
      </c>
      <c r="AJ43" s="3" t="str">
        <f>IF(Vertices[[#This Row],[ACCT]]="x",Vertices[[#Headers],[ACCT]],IF(Vertices[[#This Row],[IE]]="x",Vertices[[#Headers],[IE]],IF(Vertices[[#This Row],[MS-MIS]]="x",Vertices[[#Headers],[MS-MIS]],Vertices[[#Headers],[MBA]])))</f>
        <v>ACCT</v>
      </c>
    </row>
    <row r="44" spans="1:36" x14ac:dyDescent="0.25">
      <c r="A44" s="70" t="s">
        <v>226</v>
      </c>
      <c r="B44" s="15" t="str">
        <f>IF(Vertices[[#This Row],[Gender]]="F","Red","Blue")</f>
        <v>Blue</v>
      </c>
      <c r="C44" s="15">
        <f>IF(Vertices[[#This Row],[ACCT]]="x",2,IF(Vertices[[#This Row],[IE]]="x",10,IF(Vertices[[#This Row],[MS-MIS]]="x",7,IF(Vertices[[#This Row],[MBA]]="x",9,5))))</f>
        <v>2</v>
      </c>
      <c r="D44" s="71">
        <f>10</f>
        <v>10</v>
      </c>
      <c r="E44" s="72"/>
      <c r="F44" s="15"/>
      <c r="G44" s="15"/>
      <c r="H44" s="58" t="str">
        <f>Vertices[[#This Row],[Status]]</f>
        <v>FT</v>
      </c>
      <c r="I44" s="58"/>
      <c r="J44" s="58"/>
      <c r="K44" s="16"/>
      <c r="L44" s="73"/>
      <c r="M44" s="74">
        <v>1371.0927734375</v>
      </c>
      <c r="N44" s="74">
        <v>1579.6025390625</v>
      </c>
      <c r="O44" s="69"/>
      <c r="P44" s="75"/>
      <c r="Q44" s="75"/>
      <c r="R44" s="76"/>
      <c r="S44" s="76"/>
      <c r="T44" s="76"/>
      <c r="U44" s="76"/>
      <c r="V44" s="77"/>
      <c r="W44" s="77"/>
      <c r="X44" s="77"/>
      <c r="Y44" s="77"/>
      <c r="Z44" s="49"/>
      <c r="AA44" s="78">
        <v>51</v>
      </c>
      <c r="AB44" s="78"/>
      <c r="AC44" s="81" t="s">
        <v>177</v>
      </c>
      <c r="AD44" s="80" t="s">
        <v>178</v>
      </c>
      <c r="AE44" s="80" t="s">
        <v>176</v>
      </c>
      <c r="AF44" s="80" t="s">
        <v>175</v>
      </c>
      <c r="AG44" s="80" t="s">
        <v>175</v>
      </c>
      <c r="AH44" s="80" t="s">
        <v>175</v>
      </c>
      <c r="AI44" s="79">
        <v>3</v>
      </c>
      <c r="AJ44" s="3" t="str">
        <f>IF(Vertices[[#This Row],[ACCT]]="x",Vertices[[#Headers],[ACCT]],IF(Vertices[[#This Row],[IE]]="x",Vertices[[#Headers],[IE]],IF(Vertices[[#This Row],[MS-MIS]]="x",Vertices[[#Headers],[MS-MIS]],Vertices[[#Headers],[MBA]])))</f>
        <v>ACCT</v>
      </c>
    </row>
    <row r="45" spans="1:36" x14ac:dyDescent="0.25">
      <c r="A45" s="70" t="s">
        <v>194</v>
      </c>
      <c r="B45" s="15" t="str">
        <f>IF(Vertices[[#This Row],[Gender]]="F","Red","Blue")</f>
        <v>Blue</v>
      </c>
      <c r="C45" s="15">
        <f>IF(Vertices[[#This Row],[ACCT]]="x",2,IF(Vertices[[#This Row],[IE]]="x",10,IF(Vertices[[#This Row],[MS-MIS]]="x",7,IF(Vertices[[#This Row],[MBA]]="x",9,5))))</f>
        <v>2</v>
      </c>
      <c r="D45" s="71">
        <f>10</f>
        <v>10</v>
      </c>
      <c r="E45" s="72"/>
      <c r="F45" s="15"/>
      <c r="G45" s="15"/>
      <c r="H45" s="58" t="str">
        <f>Vertices[[#This Row],[Status]]</f>
        <v>FT</v>
      </c>
      <c r="I45" s="58"/>
      <c r="J45" s="58"/>
      <c r="K45" s="16"/>
      <c r="L45" s="73"/>
      <c r="M45" s="74">
        <v>3312.654541015625</v>
      </c>
      <c r="N45" s="74">
        <v>2001.1302490234375</v>
      </c>
      <c r="O45" s="69"/>
      <c r="P45" s="75"/>
      <c r="Q45" s="75"/>
      <c r="R45" s="76"/>
      <c r="S45" s="76"/>
      <c r="T45" s="76"/>
      <c r="U45" s="76"/>
      <c r="V45" s="77"/>
      <c r="W45" s="77"/>
      <c r="X45" s="77"/>
      <c r="Y45" s="77"/>
      <c r="Z45" s="49"/>
      <c r="AA45" s="78">
        <v>53</v>
      </c>
      <c r="AB45" s="78"/>
      <c r="AC45" s="81" t="s">
        <v>177</v>
      </c>
      <c r="AD45" s="80" t="s">
        <v>178</v>
      </c>
      <c r="AE45" s="80" t="s">
        <v>176</v>
      </c>
      <c r="AF45" s="80" t="s">
        <v>175</v>
      </c>
      <c r="AG45" s="80" t="s">
        <v>175</v>
      </c>
      <c r="AH45" s="80" t="s">
        <v>175</v>
      </c>
      <c r="AI45" s="79">
        <v>1</v>
      </c>
      <c r="AJ45" s="3" t="str">
        <f>IF(Vertices[[#This Row],[ACCT]]="x",Vertices[[#Headers],[ACCT]],IF(Vertices[[#This Row],[IE]]="x",Vertices[[#Headers],[IE]],IF(Vertices[[#This Row],[MS-MIS]]="x",Vertices[[#Headers],[MS-MIS]],Vertices[[#Headers],[MBA]])))</f>
        <v>ACCT</v>
      </c>
    </row>
    <row r="46" spans="1:36" x14ac:dyDescent="0.25">
      <c r="A46" s="70" t="s">
        <v>198</v>
      </c>
      <c r="B46" s="15" t="str">
        <f>IF(Vertices[[#This Row],[Gender]]="F","Red","Blue")</f>
        <v>Red</v>
      </c>
      <c r="C46" s="15">
        <f>IF(Vertices[[#This Row],[ACCT]]="x",2,IF(Vertices[[#This Row],[IE]]="x",10,IF(Vertices[[#This Row],[MS-MIS]]="x",7,IF(Vertices[[#This Row],[MBA]]="x",9,5))))</f>
        <v>2</v>
      </c>
      <c r="D46" s="71">
        <f>10</f>
        <v>10</v>
      </c>
      <c r="E46" s="72"/>
      <c r="F46" s="15"/>
      <c r="G46" s="15"/>
      <c r="H46" s="58" t="str">
        <f>Vertices[[#This Row],[Status]]</f>
        <v>FT</v>
      </c>
      <c r="I46" s="58"/>
      <c r="J46" s="58"/>
      <c r="K46" s="16"/>
      <c r="L46" s="73"/>
      <c r="M46" s="74">
        <v>2826.443603515625</v>
      </c>
      <c r="N46" s="74">
        <v>2912.53271484375</v>
      </c>
      <c r="O46" s="69"/>
      <c r="P46" s="75"/>
      <c r="Q46" s="75"/>
      <c r="R46" s="76"/>
      <c r="S46" s="76"/>
      <c r="T46" s="76"/>
      <c r="U46" s="76"/>
      <c r="V46" s="77"/>
      <c r="W46" s="77"/>
      <c r="X46" s="77"/>
      <c r="Y46" s="77"/>
      <c r="Z46" s="49"/>
      <c r="AA46" s="78">
        <v>54</v>
      </c>
      <c r="AB46" s="78"/>
      <c r="AC46" s="81" t="s">
        <v>173</v>
      </c>
      <c r="AD46" s="80" t="s">
        <v>178</v>
      </c>
      <c r="AE46" s="80" t="s">
        <v>176</v>
      </c>
      <c r="AF46" s="80" t="s">
        <v>175</v>
      </c>
      <c r="AG46" s="80" t="s">
        <v>175</v>
      </c>
      <c r="AH46" s="80" t="s">
        <v>175</v>
      </c>
      <c r="AI46" s="79">
        <v>7</v>
      </c>
      <c r="AJ46" s="3" t="str">
        <f>IF(Vertices[[#This Row],[ACCT]]="x",Vertices[[#Headers],[ACCT]],IF(Vertices[[#This Row],[IE]]="x",Vertices[[#Headers],[IE]],IF(Vertices[[#This Row],[MS-MIS]]="x",Vertices[[#Headers],[MS-MIS]],Vertices[[#Headers],[MBA]])))</f>
        <v>ACCT</v>
      </c>
    </row>
    <row r="47" spans="1:36" x14ac:dyDescent="0.25">
      <c r="A47" s="70" t="s">
        <v>200</v>
      </c>
      <c r="B47" s="15" t="str">
        <f>IF(Vertices[[#This Row],[Gender]]="F","Red","Blue")</f>
        <v>Blue</v>
      </c>
      <c r="C47" s="15">
        <f>IF(Vertices[[#This Row],[ACCT]]="x",2,IF(Vertices[[#This Row],[IE]]="x",10,IF(Vertices[[#This Row],[MS-MIS]]="x",7,IF(Vertices[[#This Row],[MBA]]="x",9,5))))</f>
        <v>7</v>
      </c>
      <c r="D47" s="71">
        <f>10</f>
        <v>10</v>
      </c>
      <c r="E47" s="72"/>
      <c r="F47" s="15"/>
      <c r="G47" s="15"/>
      <c r="H47" s="58" t="str">
        <f>Vertices[[#This Row],[Status]]</f>
        <v>PT</v>
      </c>
      <c r="I47" s="58"/>
      <c r="J47" s="58"/>
      <c r="K47" s="16"/>
      <c r="L47" s="73"/>
      <c r="M47" s="74">
        <v>6068.61474609375</v>
      </c>
      <c r="N47" s="74">
        <v>9318.0419921875</v>
      </c>
      <c r="O47" s="69"/>
      <c r="P47" s="75"/>
      <c r="Q47" s="75"/>
      <c r="R47" s="76"/>
      <c r="S47" s="76"/>
      <c r="T47" s="76"/>
      <c r="U47" s="76"/>
      <c r="V47" s="77"/>
      <c r="W47" s="77"/>
      <c r="X47" s="77"/>
      <c r="Y47" s="77"/>
      <c r="Z47" s="49"/>
      <c r="AA47" s="78">
        <v>55</v>
      </c>
      <c r="AB47" s="78"/>
      <c r="AC47" s="81" t="s">
        <v>177</v>
      </c>
      <c r="AD47" s="80" t="s">
        <v>174</v>
      </c>
      <c r="AE47" s="80" t="s">
        <v>175</v>
      </c>
      <c r="AF47" s="80" t="s">
        <v>175</v>
      </c>
      <c r="AG47" s="80" t="s">
        <v>176</v>
      </c>
      <c r="AH47" s="80" t="s">
        <v>176</v>
      </c>
      <c r="AI47" s="79">
        <v>8</v>
      </c>
      <c r="AJ47" s="3" t="str">
        <f>IF(Vertices[[#This Row],[ACCT]]="x",Vertices[[#Headers],[ACCT]],IF(Vertices[[#This Row],[IE]]="x",Vertices[[#Headers],[IE]],IF(Vertices[[#This Row],[MS-MIS]]="x",Vertices[[#Headers],[MS-MIS]],Vertices[[#Headers],[MBA]])))</f>
        <v>MS-MIS</v>
      </c>
    </row>
    <row r="48" spans="1:36" x14ac:dyDescent="0.25">
      <c r="A48" s="70" t="s">
        <v>209</v>
      </c>
      <c r="B48" s="15" t="str">
        <f>IF(Vertices[[#This Row],[Gender]]="F","Red","Blue")</f>
        <v>Blue</v>
      </c>
      <c r="C48" s="15">
        <f>IF(Vertices[[#This Row],[ACCT]]="x",2,IF(Vertices[[#This Row],[IE]]="x",10,IF(Vertices[[#This Row],[MS-MIS]]="x",7,IF(Vertices[[#This Row],[MBA]]="x",9,5))))</f>
        <v>9</v>
      </c>
      <c r="D48" s="71">
        <f>10</f>
        <v>10</v>
      </c>
      <c r="E48" s="72"/>
      <c r="F48" s="15"/>
      <c r="G48" s="15"/>
      <c r="H48" s="58" t="str">
        <f>Vertices[[#This Row],[Status]]</f>
        <v>PT</v>
      </c>
      <c r="I48" s="58"/>
      <c r="J48" s="58"/>
      <c r="K48" s="16"/>
      <c r="L48" s="73"/>
      <c r="M48" s="74">
        <v>6265.45654296875</v>
      </c>
      <c r="N48" s="74">
        <v>8308.8203125</v>
      </c>
      <c r="O48" s="69"/>
      <c r="P48" s="75"/>
      <c r="Q48" s="75"/>
      <c r="R48" s="76"/>
      <c r="S48" s="76"/>
      <c r="T48" s="76"/>
      <c r="U48" s="76"/>
      <c r="V48" s="77"/>
      <c r="W48" s="77"/>
      <c r="X48" s="77"/>
      <c r="Y48" s="77"/>
      <c r="Z48" s="49"/>
      <c r="AA48" s="78">
        <v>56</v>
      </c>
      <c r="AB48" s="78"/>
      <c r="AC48" s="81" t="s">
        <v>177</v>
      </c>
      <c r="AD48" s="80" t="s">
        <v>174</v>
      </c>
      <c r="AE48" s="80" t="s">
        <v>175</v>
      </c>
      <c r="AF48" s="80" t="s">
        <v>175</v>
      </c>
      <c r="AG48" s="80" t="s">
        <v>175</v>
      </c>
      <c r="AH48" s="80" t="s">
        <v>176</v>
      </c>
      <c r="AI48" s="79">
        <v>9</v>
      </c>
      <c r="AJ48" s="3" t="str">
        <f>IF(Vertices[[#This Row],[ACCT]]="x",Vertices[[#Headers],[ACCT]],IF(Vertices[[#This Row],[IE]]="x",Vertices[[#Headers],[IE]],IF(Vertices[[#This Row],[MS-MIS]]="x",Vertices[[#Headers],[MS-MIS]],Vertices[[#Headers],[MBA]])))</f>
        <v>MBA</v>
      </c>
    </row>
    <row r="49" spans="1:36" x14ac:dyDescent="0.25">
      <c r="A49" s="70" t="s">
        <v>234</v>
      </c>
      <c r="B49" s="15" t="str">
        <f>IF(Vertices[[#This Row],[Gender]]="F","Red","Blue")</f>
        <v>Red</v>
      </c>
      <c r="C49" s="15">
        <f>IF(Vertices[[#This Row],[ACCT]]="x",2,IF(Vertices[[#This Row],[IE]]="x",10,IF(Vertices[[#This Row],[MS-MIS]]="x",7,IF(Vertices[[#This Row],[MBA]]="x",9,5))))</f>
        <v>9</v>
      </c>
      <c r="D49" s="71">
        <f>10</f>
        <v>10</v>
      </c>
      <c r="E49" s="72"/>
      <c r="F49" s="15"/>
      <c r="G49" s="15"/>
      <c r="H49" s="58" t="str">
        <f>Vertices[[#This Row],[Status]]</f>
        <v>FT</v>
      </c>
      <c r="I49" s="58"/>
      <c r="J49" s="58"/>
      <c r="K49" s="16"/>
      <c r="L49" s="73"/>
      <c r="M49" s="74"/>
      <c r="N49" s="74"/>
      <c r="O49" s="69"/>
      <c r="P49" s="75"/>
      <c r="Q49" s="75"/>
      <c r="R49" s="76"/>
      <c r="S49" s="76"/>
      <c r="T49" s="76"/>
      <c r="U49" s="76"/>
      <c r="V49" s="77"/>
      <c r="W49" s="77"/>
      <c r="X49" s="77"/>
      <c r="Y49" s="77"/>
      <c r="Z49" s="49"/>
      <c r="AA49" s="78">
        <v>57</v>
      </c>
      <c r="AB49" s="78"/>
      <c r="AC49" s="81" t="s">
        <v>173</v>
      </c>
      <c r="AD49" s="80" t="s">
        <v>178</v>
      </c>
      <c r="AE49" s="80" t="s">
        <v>175</v>
      </c>
      <c r="AF49" s="80" t="s">
        <v>175</v>
      </c>
      <c r="AG49" s="80" t="s">
        <v>175</v>
      </c>
      <c r="AH49" s="80" t="s">
        <v>176</v>
      </c>
      <c r="AI49" s="79">
        <v>2</v>
      </c>
      <c r="AJ49" s="3" t="str">
        <f>IF(Vertices[[#This Row],[ACCT]]="x",Vertices[[#Headers],[ACCT]],IF(Vertices[[#This Row],[IE]]="x",Vertices[[#Headers],[IE]],IF(Vertices[[#This Row],[MS-MIS]]="x",Vertices[[#Headers],[MS-MIS]],Vertices[[#Headers],[MBA]])))</f>
        <v>MBA</v>
      </c>
    </row>
  </sheetData>
  <dataConsolidate/>
  <dataValidations count="20">
    <dataValidation allowBlank="1" errorTitle="Invalid Vertex Visibility" error="You have entered an unrecognized vertex visibility.  Try selecting from the drop-down list instead." sqref="AD3"/>
    <dataValidation allowBlank="1" showErrorMessage="1" sqref="AD2"/>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49"/>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49">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49"/>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49"/>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49"/>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49"/>
    <dataValidation allowBlank="1" showInputMessage="1" errorTitle="Invalid Vertex Image Key" promptTitle="Vertex Tooltip" prompt="Enter optional text that will pop up when the mouse is hovered over the vertex." sqref="K3:K49"/>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49"/>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49">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49"/>
    <dataValidation allowBlank="1" showInputMessage="1" promptTitle="Vertex Label Fill Color" prompt="To select an optional fill color for the Label shape, right-click and select Select Color on the right-click menu." sqref="I3:I49"/>
    <dataValidation allowBlank="1" showInputMessage="1" errorTitle="Invalid Vertex Image Key" promptTitle="Vertex Image File" prompt="Enter the path to an image file.  Hover over the column header for examples." sqref="F3:F49"/>
    <dataValidation allowBlank="1" showInputMessage="1" promptTitle="Vertex Color" prompt="To select an optional vertex color, right-click and select Select Color on the right-click menu." sqref="B3:B49"/>
    <dataValidation allowBlank="1" showInputMessage="1" errorTitle="Invalid Vertex Opacity" error="The optional vertex opacity must be a whole number between 0 and 10." promptTitle="Vertex Opacity" prompt="Enter an optional vertex opacity between 0 (transparent) and 100 (opaque)." sqref="E3:E49"/>
    <dataValidation type="list" allowBlank="1" showInputMessage="1" showErrorMessage="1" errorTitle="Invalid Vertex Shape" error="You have entered an invalid vertex shape.  Try selecting from the drop-down list instead." promptTitle="Vertex Shape" prompt="Select an optional vertex shape." sqref="C3:C49">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49"/>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49">
      <formula1>ValidVertexLabelPositions</formula1>
    </dataValidation>
    <dataValidation allowBlank="1" showInputMessage="1" showErrorMessage="1" promptTitle="Vertex Name" prompt="Enter the name of the vertex." sqref="A3:A49"/>
  </dataValidations>
  <pageMargins left="0.7" right="0.7" top="0.75" bottom="0.75" header="0.3" footer="0.3"/>
  <pageSetup orientation="portrait" horizontalDpi="300" verticalDpi="30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48</v>
      </c>
    </row>
    <row r="2" spans="1:1" ht="15" customHeight="1" x14ac:dyDescent="0.25"/>
    <row r="3" spans="1:1" ht="15" customHeight="1" x14ac:dyDescent="0.25">
      <c r="A3" s="31" t="s">
        <v>49</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hidden="1" customWidth="1"/>
    <col min="12" max="12" width="9.7109375" hidden="1" customWidth="1"/>
    <col min="13" max="13" width="13.140625" hidden="1" customWidth="1"/>
    <col min="14" max="15" width="8.42578125" hidden="1" customWidth="1"/>
    <col min="16" max="16" width="18.28515625" hidden="1" customWidth="1"/>
    <col min="17" max="17" width="14.85546875" hidden="1" customWidth="1"/>
    <col min="18" max="18" width="14.5703125" hidden="1" customWidth="1"/>
    <col min="19" max="21" width="24.140625" hidden="1" customWidth="1"/>
    <col min="22" max="22" width="21.28515625" hidden="1" customWidth="1"/>
    <col min="23" max="23" width="19.28515625" hidden="1" customWidth="1"/>
    <col min="24" max="24" width="10" hidden="1" customWidth="1"/>
    <col min="25" max="25" width="13" customWidth="1"/>
  </cols>
  <sheetData>
    <row r="1" spans="1:24" x14ac:dyDescent="0.25">
      <c r="B1" s="60" t="s">
        <v>38</v>
      </c>
      <c r="C1" s="61"/>
      <c r="D1" s="61"/>
      <c r="E1" s="62"/>
      <c r="F1" s="58" t="s">
        <v>42</v>
      </c>
      <c r="G1" s="63" t="s">
        <v>43</v>
      </c>
      <c r="H1" s="64"/>
      <c r="I1" s="65" t="s">
        <v>39</v>
      </c>
      <c r="J1" s="66"/>
      <c r="K1" s="67" t="s">
        <v>41</v>
      </c>
      <c r="L1" s="68"/>
      <c r="M1" s="68"/>
      <c r="N1" s="68"/>
      <c r="O1" s="68"/>
      <c r="P1" s="68"/>
      <c r="Q1" s="68"/>
      <c r="R1" s="68"/>
      <c r="S1" s="68"/>
      <c r="T1" s="68"/>
      <c r="U1" s="68"/>
      <c r="V1" s="68"/>
      <c r="W1" s="68"/>
      <c r="X1" s="68"/>
    </row>
    <row r="2" spans="1:24" s="13" customFormat="1" ht="30" customHeight="1" x14ac:dyDescent="0.25">
      <c r="A2" s="11" t="s">
        <v>143</v>
      </c>
      <c r="B2" s="13" t="s">
        <v>21</v>
      </c>
      <c r="C2" s="13" t="s">
        <v>20</v>
      </c>
      <c r="D2" s="13" t="s">
        <v>11</v>
      </c>
      <c r="E2" s="13" t="s">
        <v>144</v>
      </c>
      <c r="F2" s="13" t="s">
        <v>45</v>
      </c>
      <c r="G2" s="13" t="s">
        <v>166</v>
      </c>
      <c r="H2" s="13" t="s">
        <v>167</v>
      </c>
      <c r="I2" s="13" t="s">
        <v>12</v>
      </c>
      <c r="J2" s="13" t="s">
        <v>165</v>
      </c>
      <c r="K2" s="13" t="s">
        <v>145</v>
      </c>
      <c r="L2" s="13" t="s">
        <v>147</v>
      </c>
      <c r="M2" s="13" t="s">
        <v>148</v>
      </c>
      <c r="N2" s="13" t="s">
        <v>149</v>
      </c>
      <c r="O2" s="13" t="s">
        <v>150</v>
      </c>
      <c r="P2" s="13" t="s">
        <v>169</v>
      </c>
      <c r="Q2" s="13" t="s">
        <v>170</v>
      </c>
      <c r="R2" s="13" t="s">
        <v>151</v>
      </c>
      <c r="S2" s="13" t="s">
        <v>152</v>
      </c>
      <c r="T2" s="13" t="s">
        <v>153</v>
      </c>
      <c r="U2" s="13" t="s">
        <v>154</v>
      </c>
      <c r="V2" s="13" t="s">
        <v>155</v>
      </c>
      <c r="W2" s="13" t="s">
        <v>156</v>
      </c>
      <c r="X2" s="13" t="s">
        <v>157</v>
      </c>
    </row>
    <row r="3" spans="1:24" x14ac:dyDescent="0.25">
      <c r="A3" s="14"/>
      <c r="B3" s="15"/>
      <c r="C3" s="15"/>
      <c r="D3" s="15"/>
      <c r="E3" s="15"/>
      <c r="F3" s="16"/>
      <c r="G3" s="69"/>
      <c r="H3" s="69"/>
      <c r="I3" s="56"/>
      <c r="J3" s="56"/>
      <c r="K3" s="47"/>
      <c r="L3" s="47"/>
      <c r="M3" s="47"/>
      <c r="N3" s="47"/>
      <c r="O3" s="47"/>
      <c r="P3" s="47"/>
      <c r="Q3" s="47"/>
      <c r="R3" s="47"/>
      <c r="S3" s="47"/>
      <c r="T3" s="47"/>
      <c r="U3" s="47"/>
      <c r="V3" s="47"/>
      <c r="W3" s="48"/>
      <c r="X3" s="48"/>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x14ac:dyDescent="0.25">
      <c r="A1" s="1" t="s">
        <v>143</v>
      </c>
      <c r="B1" s="1" t="s">
        <v>5</v>
      </c>
      <c r="C1" s="1" t="s">
        <v>146</v>
      </c>
    </row>
    <row r="2" spans="1:3" x14ac:dyDescent="0.25">
      <c r="C2" s="3"/>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44"/>
  <sheetViews>
    <sheetView workbookViewId="0">
      <selection activeCell="A2" sqref="A2"/>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161</v>
      </c>
      <c r="B1" s="13" t="s">
        <v>17</v>
      </c>
      <c r="D1" t="s">
        <v>78</v>
      </c>
      <c r="E1" t="s">
        <v>79</v>
      </c>
      <c r="F1" s="36" t="s">
        <v>85</v>
      </c>
      <c r="G1" s="37" t="s">
        <v>86</v>
      </c>
      <c r="H1" s="36" t="s">
        <v>91</v>
      </c>
      <c r="I1" s="37" t="s">
        <v>92</v>
      </c>
      <c r="J1" s="36" t="s">
        <v>97</v>
      </c>
      <c r="K1" s="37" t="s">
        <v>98</v>
      </c>
      <c r="L1" s="36" t="s">
        <v>103</v>
      </c>
      <c r="M1" s="37" t="s">
        <v>104</v>
      </c>
      <c r="N1" s="36" t="s">
        <v>109</v>
      </c>
      <c r="O1" s="37" t="s">
        <v>110</v>
      </c>
      <c r="P1" s="37" t="s">
        <v>137</v>
      </c>
      <c r="Q1" s="37" t="s">
        <v>138</v>
      </c>
      <c r="R1" s="36" t="s">
        <v>115</v>
      </c>
      <c r="S1" s="36" t="s">
        <v>116</v>
      </c>
      <c r="T1" s="36" t="s">
        <v>121</v>
      </c>
      <c r="U1" s="37" t="s">
        <v>122</v>
      </c>
      <c r="W1" t="s">
        <v>126</v>
      </c>
      <c r="X1" t="s">
        <v>17</v>
      </c>
    </row>
    <row r="2" spans="1:24" ht="15.75" thickTop="1" x14ac:dyDescent="0.25">
      <c r="A2" s="35"/>
      <c r="B2" s="35"/>
      <c r="D2" s="32">
        <f>MIN(Vertices[Degree])</f>
        <v>0</v>
      </c>
      <c r="E2" s="3">
        <f>COUNTIF(Vertices[Degree], "&gt;= " &amp; D2) - COUNTIF(Vertices[Degree], "&gt;=" &amp; D3)</f>
        <v>0</v>
      </c>
      <c r="F2" s="38">
        <f>MIN(Vertices[In-Degree])</f>
        <v>0</v>
      </c>
      <c r="G2" s="39">
        <f>COUNTIF(Vertices[In-Degree], "&gt;= " &amp; F2) - COUNTIF(Vertices[In-Degree], "&gt;=" &amp; F3)</f>
        <v>0</v>
      </c>
      <c r="H2" s="38">
        <f>MIN(Vertices[Out-Degree])</f>
        <v>0</v>
      </c>
      <c r="I2" s="39">
        <f>COUNTIF(Vertices[Out-Degree], "&gt;= " &amp; H2) - COUNTIF(Vertices[Out-Degree], "&gt;=" &amp; H3)</f>
        <v>0</v>
      </c>
      <c r="J2" s="38">
        <f>MIN(Vertices[Betweenness Centrality])</f>
        <v>0</v>
      </c>
      <c r="K2" s="39">
        <f>COUNTIF(Vertices[Betweenness Centrality], "&gt;= " &amp; J2) - COUNTIF(Vertices[Betweenness Centrality], "&gt;=" &amp; J3)</f>
        <v>0</v>
      </c>
      <c r="L2" s="38">
        <f>MIN(Vertices[Closeness Centrality])</f>
        <v>0</v>
      </c>
      <c r="M2" s="39">
        <f>COUNTIF(Vertices[Closeness Centrality], "&gt;= " &amp; L2) - COUNTIF(Vertices[Closeness Centrality], "&gt;=" &amp; L3)</f>
        <v>0</v>
      </c>
      <c r="N2" s="38">
        <f>MIN(Vertices[Eigenvector Centrality])</f>
        <v>0</v>
      </c>
      <c r="O2" s="39">
        <f>COUNTIF(Vertices[Eigenvector Centrality], "&gt;= " &amp; N2) - COUNTIF(Vertices[Eigenvector Centrality], "&gt;=" &amp; N3)</f>
        <v>0</v>
      </c>
      <c r="P2" s="38">
        <f>MIN(Vertices[PageRank])</f>
        <v>0</v>
      </c>
      <c r="Q2" s="39">
        <f>COUNTIF(Vertices[PageRank], "&gt;= " &amp; P2) - COUNTIF(Vertices[PageRank], "&gt;=" &amp; P3)</f>
        <v>0</v>
      </c>
      <c r="R2" s="38">
        <f>MIN(Vertices[Clustering Coefficient])</f>
        <v>0</v>
      </c>
      <c r="S2" s="44">
        <f>COUNTIF(Vertices[Clustering Coefficient], "&gt;= " &amp; R2) - COUNTIF(Vertices[Clustering Coefficient], "&gt;=" &amp; R3)</f>
        <v>0</v>
      </c>
      <c r="T2" s="38" t="e">
        <f ca="1">MIN(INDIRECT(DynamicFilterSourceColumnRange))</f>
        <v>#REF!</v>
      </c>
      <c r="U2" s="39" t="e">
        <f t="shared" ref="U2:U45" ca="1" si="0">COUNTIF(INDIRECT(DynamicFilterSourceColumnRange), "&gt;= " &amp; T2) - COUNTIF(INDIRECT(DynamicFilterSourceColumnRange), "&gt;=" &amp; T3)</f>
        <v>#REF!</v>
      </c>
      <c r="W2" t="s">
        <v>123</v>
      </c>
      <c r="X2">
        <f>ROWS(HistogramBins[Degree Bin]) - 1</f>
        <v>43</v>
      </c>
    </row>
    <row r="3" spans="1:24" x14ac:dyDescent="0.25">
      <c r="A3" s="35"/>
      <c r="B3" s="35"/>
      <c r="D3" s="33">
        <f t="shared" ref="D3:D44" si="1">D2+($D$45-$D$2)/BinDivisor</f>
        <v>0</v>
      </c>
      <c r="E3" s="3">
        <f>COUNTIF(Vertices[Degree], "&gt;= " &amp; D3) - COUNTIF(Vertices[Degree], "&gt;=" &amp; D4)</f>
        <v>0</v>
      </c>
      <c r="F3" s="40">
        <f t="shared" ref="F3:F44" si="2">F2+($F$45-$F$2)/BinDivisor</f>
        <v>0</v>
      </c>
      <c r="G3" s="41">
        <f>COUNTIF(Vertices[In-Degree], "&gt;= " &amp; F3) - COUNTIF(Vertices[In-Degree], "&gt;=" &amp; F4)</f>
        <v>0</v>
      </c>
      <c r="H3" s="40">
        <f t="shared" ref="H3:H44" si="3">H2+($H$45-$H$2)/BinDivisor</f>
        <v>0</v>
      </c>
      <c r="I3" s="41">
        <f>COUNTIF(Vertices[Out-Degree], "&gt;= " &amp; H3) - COUNTIF(Vertices[Out-Degree], "&gt;=" &amp; H4)</f>
        <v>0</v>
      </c>
      <c r="J3" s="40">
        <f t="shared" ref="J3:J44" si="4">J2+($J$45-$J$2)/BinDivisor</f>
        <v>0</v>
      </c>
      <c r="K3" s="41">
        <f>COUNTIF(Vertices[Betweenness Centrality], "&gt;= " &amp; J3) - COUNTIF(Vertices[Betweenness Centrality], "&gt;=" &amp; J4)</f>
        <v>0</v>
      </c>
      <c r="L3" s="40">
        <f t="shared" ref="L3:L44" si="5">L2+($L$45-$L$2)/BinDivisor</f>
        <v>0</v>
      </c>
      <c r="M3" s="41">
        <f>COUNTIF(Vertices[Closeness Centrality], "&gt;= " &amp; L3) - COUNTIF(Vertices[Closeness Centrality], "&gt;=" &amp; L4)</f>
        <v>0</v>
      </c>
      <c r="N3" s="40">
        <f t="shared" ref="N3:N44" si="6">N2+($N$45-$N$2)/BinDivisor</f>
        <v>0</v>
      </c>
      <c r="O3" s="41">
        <f>COUNTIF(Vertices[Eigenvector Centrality], "&gt;= " &amp; N3) - COUNTIF(Vertices[Eigenvector Centrality], "&gt;=" &amp; N4)</f>
        <v>0</v>
      </c>
      <c r="P3" s="40">
        <f t="shared" ref="P3:P44" si="7">P2+($P$45-$P$2)/BinDivisor</f>
        <v>0</v>
      </c>
      <c r="Q3" s="41">
        <f>COUNTIF(Vertices[PageRank], "&gt;= " &amp; P3) - COUNTIF(Vertices[PageRank], "&gt;=" &amp; P4)</f>
        <v>0</v>
      </c>
      <c r="R3" s="40">
        <f t="shared" ref="R3:R44" si="8">R2+($R$45-$R$2)/BinDivisor</f>
        <v>0</v>
      </c>
      <c r="S3" s="45">
        <f>COUNTIF(Vertices[Clustering Coefficient], "&gt;= " &amp; R3) - COUNTIF(Vertices[Clustering Coefficient], "&gt;=" &amp; R4)</f>
        <v>0</v>
      </c>
      <c r="T3" s="40" t="e">
        <f t="shared" ref="T3:T44" ca="1" si="9">T2+($T$45-$T$2)/BinDivisor</f>
        <v>#REF!</v>
      </c>
      <c r="U3" s="41" t="e">
        <f t="shared" ca="1" si="0"/>
        <v>#REF!</v>
      </c>
      <c r="W3" t="s">
        <v>124</v>
      </c>
      <c r="X3" t="s">
        <v>84</v>
      </c>
    </row>
    <row r="4" spans="1:24" x14ac:dyDescent="0.25">
      <c r="A4" s="35"/>
      <c r="B4" s="35"/>
      <c r="D4" s="33">
        <f t="shared" si="1"/>
        <v>0</v>
      </c>
      <c r="E4" s="3">
        <f>COUNTIF(Vertices[Degree], "&gt;= " &amp; D4) - COUNTIF(Vertices[Degree], "&gt;=" &amp; D5)</f>
        <v>0</v>
      </c>
      <c r="F4" s="38">
        <f t="shared" si="2"/>
        <v>0</v>
      </c>
      <c r="G4" s="39">
        <f>COUNTIF(Vertices[In-Degree], "&gt;= " &amp; F4) - COUNTIF(Vertices[In-Degree], "&gt;=" &amp; F5)</f>
        <v>0</v>
      </c>
      <c r="H4" s="38">
        <f t="shared" si="3"/>
        <v>0</v>
      </c>
      <c r="I4" s="39">
        <f>COUNTIF(Vertices[Out-Degree], "&gt;= " &amp; H4) - COUNTIF(Vertices[Out-Degree], "&gt;=" &amp; H5)</f>
        <v>0</v>
      </c>
      <c r="J4" s="38">
        <f t="shared" si="4"/>
        <v>0</v>
      </c>
      <c r="K4" s="39">
        <f>COUNTIF(Vertices[Betweenness Centrality], "&gt;= " &amp; J4) - COUNTIF(Vertices[Betweenness Centrality], "&gt;=" &amp; J5)</f>
        <v>0</v>
      </c>
      <c r="L4" s="38">
        <f t="shared" si="5"/>
        <v>0</v>
      </c>
      <c r="M4" s="39">
        <f>COUNTIF(Vertices[Closeness Centrality], "&gt;= " &amp; L4) - COUNTIF(Vertices[Closeness Centrality], "&gt;=" &amp; L5)</f>
        <v>0</v>
      </c>
      <c r="N4" s="38">
        <f t="shared" si="6"/>
        <v>0</v>
      </c>
      <c r="O4" s="39">
        <f>COUNTIF(Vertices[Eigenvector Centrality], "&gt;= " &amp; N4) - COUNTIF(Vertices[Eigenvector Centrality], "&gt;=" &amp; N5)</f>
        <v>0</v>
      </c>
      <c r="P4" s="38">
        <f t="shared" si="7"/>
        <v>0</v>
      </c>
      <c r="Q4" s="39">
        <f>COUNTIF(Vertices[PageRank], "&gt;= " &amp; P4) - COUNTIF(Vertices[PageRank], "&gt;=" &amp; P5)</f>
        <v>0</v>
      </c>
      <c r="R4" s="38">
        <f t="shared" si="8"/>
        <v>0</v>
      </c>
      <c r="S4" s="44">
        <f>COUNTIF(Vertices[Clustering Coefficient], "&gt;= " &amp; R4) - COUNTIF(Vertices[Clustering Coefficient], "&gt;=" &amp; R5)</f>
        <v>0</v>
      </c>
      <c r="T4" s="38" t="e">
        <f t="shared" ca="1" si="9"/>
        <v>#REF!</v>
      </c>
      <c r="U4" s="39" t="e">
        <f t="shared" ca="1" si="0"/>
        <v>#REF!</v>
      </c>
      <c r="W4" s="12" t="s">
        <v>125</v>
      </c>
      <c r="X4" s="12" t="s">
        <v>127</v>
      </c>
    </row>
    <row r="5" spans="1:24" x14ac:dyDescent="0.25">
      <c r="A5" s="35"/>
      <c r="B5" s="35"/>
      <c r="D5" s="33">
        <f t="shared" si="1"/>
        <v>0</v>
      </c>
      <c r="E5" s="3">
        <f>COUNTIF(Vertices[Degree], "&gt;= " &amp; D5) - COUNTIF(Vertices[Degree], "&gt;=" &amp; D6)</f>
        <v>0</v>
      </c>
      <c r="F5" s="40">
        <f t="shared" si="2"/>
        <v>0</v>
      </c>
      <c r="G5" s="41">
        <f>COUNTIF(Vertices[In-Degree], "&gt;= " &amp; F5) - COUNTIF(Vertices[In-Degree], "&gt;=" &amp; F6)</f>
        <v>0</v>
      </c>
      <c r="H5" s="40">
        <f t="shared" si="3"/>
        <v>0</v>
      </c>
      <c r="I5" s="41">
        <f>COUNTIF(Vertices[Out-Degree], "&gt;= " &amp; H5) - COUNTIF(Vertices[Out-Degree], "&gt;=" &amp; H6)</f>
        <v>0</v>
      </c>
      <c r="J5" s="40">
        <f t="shared" si="4"/>
        <v>0</v>
      </c>
      <c r="K5" s="41">
        <f>COUNTIF(Vertices[Betweenness Centrality], "&gt;= " &amp; J5) - COUNTIF(Vertices[Betweenness Centrality], "&gt;=" &amp; J6)</f>
        <v>0</v>
      </c>
      <c r="L5" s="40">
        <f t="shared" si="5"/>
        <v>0</v>
      </c>
      <c r="M5" s="41">
        <f>COUNTIF(Vertices[Closeness Centrality], "&gt;= " &amp; L5) - COUNTIF(Vertices[Closeness Centrality], "&gt;=" &amp; L6)</f>
        <v>0</v>
      </c>
      <c r="N5" s="40">
        <f t="shared" si="6"/>
        <v>0</v>
      </c>
      <c r="O5" s="41">
        <f>COUNTIF(Vertices[Eigenvector Centrality], "&gt;= " &amp; N5) - COUNTIF(Vertices[Eigenvector Centrality], "&gt;=" &amp; N6)</f>
        <v>0</v>
      </c>
      <c r="P5" s="40">
        <f t="shared" si="7"/>
        <v>0</v>
      </c>
      <c r="Q5" s="41">
        <f>COUNTIF(Vertices[PageRank], "&gt;= " &amp; P5) - COUNTIF(Vertices[PageRank], "&gt;=" &amp; P6)</f>
        <v>0</v>
      </c>
      <c r="R5" s="40">
        <f t="shared" si="8"/>
        <v>0</v>
      </c>
      <c r="S5" s="45">
        <f>COUNTIF(Vertices[Clustering Coefficient], "&gt;= " &amp; R5) - COUNTIF(Vertices[Clustering Coefficient], "&gt;=" &amp; R6)</f>
        <v>0</v>
      </c>
      <c r="T5" s="40" t="e">
        <f t="shared" ca="1" si="9"/>
        <v>#REF!</v>
      </c>
      <c r="U5" s="41" t="e">
        <f t="shared" ca="1" si="0"/>
        <v>#REF!</v>
      </c>
    </row>
    <row r="6" spans="1:24" x14ac:dyDescent="0.25">
      <c r="A6" s="35"/>
      <c r="B6" s="35"/>
      <c r="D6" s="33">
        <f t="shared" si="1"/>
        <v>0</v>
      </c>
      <c r="E6" s="3">
        <f>COUNTIF(Vertices[Degree], "&gt;= " &amp; D6) - COUNTIF(Vertices[Degree], "&gt;=" &amp; D7)</f>
        <v>0</v>
      </c>
      <c r="F6" s="38">
        <f t="shared" si="2"/>
        <v>0</v>
      </c>
      <c r="G6" s="39">
        <f>COUNTIF(Vertices[In-Degree], "&gt;= " &amp; F6) - COUNTIF(Vertices[In-Degree], "&gt;=" &amp; F7)</f>
        <v>0</v>
      </c>
      <c r="H6" s="38">
        <f t="shared" si="3"/>
        <v>0</v>
      </c>
      <c r="I6" s="39">
        <f>COUNTIF(Vertices[Out-Degree], "&gt;= " &amp; H6) - COUNTIF(Vertices[Out-Degree], "&gt;=" &amp; H7)</f>
        <v>0</v>
      </c>
      <c r="J6" s="38">
        <f t="shared" si="4"/>
        <v>0</v>
      </c>
      <c r="K6" s="39">
        <f>COUNTIF(Vertices[Betweenness Centrality], "&gt;= " &amp; J6) - COUNTIF(Vertices[Betweenness Centrality], "&gt;=" &amp; J7)</f>
        <v>0</v>
      </c>
      <c r="L6" s="38">
        <f t="shared" si="5"/>
        <v>0</v>
      </c>
      <c r="M6" s="39">
        <f>COUNTIF(Vertices[Closeness Centrality], "&gt;= " &amp; L6) - COUNTIF(Vertices[Closeness Centrality], "&gt;=" &amp; L7)</f>
        <v>0</v>
      </c>
      <c r="N6" s="38">
        <f t="shared" si="6"/>
        <v>0</v>
      </c>
      <c r="O6" s="39">
        <f>COUNTIF(Vertices[Eigenvector Centrality], "&gt;= " &amp; N6) - COUNTIF(Vertices[Eigenvector Centrality], "&gt;=" &amp; N7)</f>
        <v>0</v>
      </c>
      <c r="P6" s="38">
        <f t="shared" si="7"/>
        <v>0</v>
      </c>
      <c r="Q6" s="39">
        <f>COUNTIF(Vertices[PageRank], "&gt;= " &amp; P6) - COUNTIF(Vertices[PageRank], "&gt;=" &amp; P7)</f>
        <v>0</v>
      </c>
      <c r="R6" s="38">
        <f t="shared" si="8"/>
        <v>0</v>
      </c>
      <c r="S6" s="44">
        <f>COUNTIF(Vertices[Clustering Coefficient], "&gt;= " &amp; R6) - COUNTIF(Vertices[Clustering Coefficient], "&gt;=" &amp; R7)</f>
        <v>0</v>
      </c>
      <c r="T6" s="38" t="e">
        <f t="shared" ca="1" si="9"/>
        <v>#REF!</v>
      </c>
      <c r="U6" s="39" t="e">
        <f t="shared" ca="1" si="0"/>
        <v>#REF!</v>
      </c>
    </row>
    <row r="7" spans="1:24" x14ac:dyDescent="0.25">
      <c r="A7" s="35"/>
      <c r="B7" s="35"/>
      <c r="D7" s="33">
        <f t="shared" si="1"/>
        <v>0</v>
      </c>
      <c r="E7" s="3">
        <f>COUNTIF(Vertices[Degree], "&gt;= " &amp; D7) - COUNTIF(Vertices[Degree], "&gt;=" &amp; D8)</f>
        <v>0</v>
      </c>
      <c r="F7" s="40">
        <f t="shared" si="2"/>
        <v>0</v>
      </c>
      <c r="G7" s="41">
        <f>COUNTIF(Vertices[In-Degree], "&gt;= " &amp; F7) - COUNTIF(Vertices[In-Degree], "&gt;=" &amp; F8)</f>
        <v>0</v>
      </c>
      <c r="H7" s="40">
        <f t="shared" si="3"/>
        <v>0</v>
      </c>
      <c r="I7" s="41">
        <f>COUNTIF(Vertices[Out-Degree], "&gt;= " &amp; H7) - COUNTIF(Vertices[Out-Degree], "&gt;=" &amp; H8)</f>
        <v>0</v>
      </c>
      <c r="J7" s="40">
        <f t="shared" si="4"/>
        <v>0</v>
      </c>
      <c r="K7" s="41">
        <f>COUNTIF(Vertices[Betweenness Centrality], "&gt;= " &amp; J7) - COUNTIF(Vertices[Betweenness Centrality], "&gt;=" &amp; J8)</f>
        <v>0</v>
      </c>
      <c r="L7" s="40">
        <f t="shared" si="5"/>
        <v>0</v>
      </c>
      <c r="M7" s="41">
        <f>COUNTIF(Vertices[Closeness Centrality], "&gt;= " &amp; L7) - COUNTIF(Vertices[Closeness Centrality], "&gt;=" &amp; L8)</f>
        <v>0</v>
      </c>
      <c r="N7" s="40">
        <f t="shared" si="6"/>
        <v>0</v>
      </c>
      <c r="O7" s="41">
        <f>COUNTIF(Vertices[Eigenvector Centrality], "&gt;= " &amp; N7) - COUNTIF(Vertices[Eigenvector Centrality], "&gt;=" &amp; N8)</f>
        <v>0</v>
      </c>
      <c r="P7" s="40">
        <f t="shared" si="7"/>
        <v>0</v>
      </c>
      <c r="Q7" s="41">
        <f>COUNTIF(Vertices[PageRank], "&gt;= " &amp; P7) - COUNTIF(Vertices[PageRank], "&gt;=" &amp; P8)</f>
        <v>0</v>
      </c>
      <c r="R7" s="40">
        <f t="shared" si="8"/>
        <v>0</v>
      </c>
      <c r="S7" s="45">
        <f>COUNTIF(Vertices[Clustering Coefficient], "&gt;= " &amp; R7) - COUNTIF(Vertices[Clustering Coefficient], "&gt;=" &amp; R8)</f>
        <v>0</v>
      </c>
      <c r="T7" s="40" t="e">
        <f t="shared" ca="1" si="9"/>
        <v>#REF!</v>
      </c>
      <c r="U7" s="41" t="e">
        <f t="shared" ca="1" si="0"/>
        <v>#REF!</v>
      </c>
    </row>
    <row r="8" spans="1:24" x14ac:dyDescent="0.25">
      <c r="A8" s="35"/>
      <c r="B8" s="35"/>
      <c r="D8" s="33">
        <f t="shared" si="1"/>
        <v>0</v>
      </c>
      <c r="E8" s="3">
        <f>COUNTIF(Vertices[Degree], "&gt;= " &amp; D8) - COUNTIF(Vertices[Degree], "&gt;=" &amp; D9)</f>
        <v>0</v>
      </c>
      <c r="F8" s="38">
        <f t="shared" si="2"/>
        <v>0</v>
      </c>
      <c r="G8" s="39">
        <f>COUNTIF(Vertices[In-Degree], "&gt;= " &amp; F8) - COUNTIF(Vertices[In-Degree], "&gt;=" &amp; F9)</f>
        <v>0</v>
      </c>
      <c r="H8" s="38">
        <f t="shared" si="3"/>
        <v>0</v>
      </c>
      <c r="I8" s="39">
        <f>COUNTIF(Vertices[Out-Degree], "&gt;= " &amp; H8) - COUNTIF(Vertices[Out-Degree], "&gt;=" &amp; H9)</f>
        <v>0</v>
      </c>
      <c r="J8" s="38">
        <f t="shared" si="4"/>
        <v>0</v>
      </c>
      <c r="K8" s="39">
        <f>COUNTIF(Vertices[Betweenness Centrality], "&gt;= " &amp; J8) - COUNTIF(Vertices[Betweenness Centrality], "&gt;=" &amp; J9)</f>
        <v>0</v>
      </c>
      <c r="L8" s="38">
        <f t="shared" si="5"/>
        <v>0</v>
      </c>
      <c r="M8" s="39">
        <f>COUNTIF(Vertices[Closeness Centrality], "&gt;= " &amp; L8) - COUNTIF(Vertices[Closeness Centrality], "&gt;=" &amp; L9)</f>
        <v>0</v>
      </c>
      <c r="N8" s="38">
        <f t="shared" si="6"/>
        <v>0</v>
      </c>
      <c r="O8" s="39">
        <f>COUNTIF(Vertices[Eigenvector Centrality], "&gt;= " &amp; N8) - COUNTIF(Vertices[Eigenvector Centrality], "&gt;=" &amp; N9)</f>
        <v>0</v>
      </c>
      <c r="P8" s="38">
        <f t="shared" si="7"/>
        <v>0</v>
      </c>
      <c r="Q8" s="39">
        <f>COUNTIF(Vertices[PageRank], "&gt;= " &amp; P8) - COUNTIF(Vertices[PageRank], "&gt;=" &amp; P9)</f>
        <v>0</v>
      </c>
      <c r="R8" s="38">
        <f t="shared" si="8"/>
        <v>0</v>
      </c>
      <c r="S8" s="44">
        <f>COUNTIF(Vertices[Clustering Coefficient], "&gt;= " &amp; R8) - COUNTIF(Vertices[Clustering Coefficient], "&gt;=" &amp; R9)</f>
        <v>0</v>
      </c>
      <c r="T8" s="38" t="e">
        <f t="shared" ca="1" si="9"/>
        <v>#REF!</v>
      </c>
      <c r="U8" s="39" t="e">
        <f t="shared" ca="1" si="0"/>
        <v>#REF!</v>
      </c>
    </row>
    <row r="9" spans="1:24" x14ac:dyDescent="0.25">
      <c r="A9" s="35"/>
      <c r="B9" s="35"/>
      <c r="D9" s="33">
        <f t="shared" si="1"/>
        <v>0</v>
      </c>
      <c r="E9" s="3">
        <f>COUNTIF(Vertices[Degree], "&gt;= " &amp; D9) - COUNTIF(Vertices[Degree], "&gt;=" &amp; D10)</f>
        <v>0</v>
      </c>
      <c r="F9" s="40">
        <f t="shared" si="2"/>
        <v>0</v>
      </c>
      <c r="G9" s="41">
        <f>COUNTIF(Vertices[In-Degree], "&gt;= " &amp; F9) - COUNTIF(Vertices[In-Degree], "&gt;=" &amp; F10)</f>
        <v>0</v>
      </c>
      <c r="H9" s="40">
        <f t="shared" si="3"/>
        <v>0</v>
      </c>
      <c r="I9" s="41">
        <f>COUNTIF(Vertices[Out-Degree], "&gt;= " &amp; H9) - COUNTIF(Vertices[Out-Degree], "&gt;=" &amp; H10)</f>
        <v>0</v>
      </c>
      <c r="J9" s="40">
        <f t="shared" si="4"/>
        <v>0</v>
      </c>
      <c r="K9" s="41">
        <f>COUNTIF(Vertices[Betweenness Centrality], "&gt;= " &amp; J9) - COUNTIF(Vertices[Betweenness Centrality], "&gt;=" &amp; J10)</f>
        <v>0</v>
      </c>
      <c r="L9" s="40">
        <f t="shared" si="5"/>
        <v>0</v>
      </c>
      <c r="M9" s="41">
        <f>COUNTIF(Vertices[Closeness Centrality], "&gt;= " &amp; L9) - COUNTIF(Vertices[Closeness Centrality], "&gt;=" &amp; L10)</f>
        <v>0</v>
      </c>
      <c r="N9" s="40">
        <f t="shared" si="6"/>
        <v>0</v>
      </c>
      <c r="O9" s="41">
        <f>COUNTIF(Vertices[Eigenvector Centrality], "&gt;= " &amp; N9) - COUNTIF(Vertices[Eigenvector Centrality], "&gt;=" &amp; N10)</f>
        <v>0</v>
      </c>
      <c r="P9" s="40">
        <f t="shared" si="7"/>
        <v>0</v>
      </c>
      <c r="Q9" s="41">
        <f>COUNTIF(Vertices[PageRank], "&gt;= " &amp; P9) - COUNTIF(Vertices[PageRank], "&gt;=" &amp; P10)</f>
        <v>0</v>
      </c>
      <c r="R9" s="40">
        <f t="shared" si="8"/>
        <v>0</v>
      </c>
      <c r="S9" s="45">
        <f>COUNTIF(Vertices[Clustering Coefficient], "&gt;= " &amp; R9) - COUNTIF(Vertices[Clustering Coefficient], "&gt;=" &amp; R10)</f>
        <v>0</v>
      </c>
      <c r="T9" s="40" t="e">
        <f t="shared" ca="1" si="9"/>
        <v>#REF!</v>
      </c>
      <c r="U9" s="41" t="e">
        <f t="shared" ca="1" si="0"/>
        <v>#REF!</v>
      </c>
    </row>
    <row r="10" spans="1:24" x14ac:dyDescent="0.25">
      <c r="A10" s="35"/>
      <c r="B10" s="35"/>
      <c r="D10" s="33">
        <f t="shared" si="1"/>
        <v>0</v>
      </c>
      <c r="E10" s="3">
        <f>COUNTIF(Vertices[Degree], "&gt;= " &amp; D10) - COUNTIF(Vertices[Degree], "&gt;=" &amp; D11)</f>
        <v>0</v>
      </c>
      <c r="F10" s="38">
        <f t="shared" si="2"/>
        <v>0</v>
      </c>
      <c r="G10" s="39">
        <f>COUNTIF(Vertices[In-Degree], "&gt;= " &amp; F10) - COUNTIF(Vertices[In-Degree], "&gt;=" &amp; F11)</f>
        <v>0</v>
      </c>
      <c r="H10" s="38">
        <f t="shared" si="3"/>
        <v>0</v>
      </c>
      <c r="I10" s="39">
        <f>COUNTIF(Vertices[Out-Degree], "&gt;= " &amp; H10) - COUNTIF(Vertices[Out-Degree], "&gt;=" &amp; H11)</f>
        <v>0</v>
      </c>
      <c r="J10" s="38">
        <f t="shared" si="4"/>
        <v>0</v>
      </c>
      <c r="K10" s="39">
        <f>COUNTIF(Vertices[Betweenness Centrality], "&gt;= " &amp; J10) - COUNTIF(Vertices[Betweenness Centrality], "&gt;=" &amp; J11)</f>
        <v>0</v>
      </c>
      <c r="L10" s="38">
        <f t="shared" si="5"/>
        <v>0</v>
      </c>
      <c r="M10" s="39">
        <f>COUNTIF(Vertices[Closeness Centrality], "&gt;= " &amp; L10) - COUNTIF(Vertices[Closeness Centrality], "&gt;=" &amp; L11)</f>
        <v>0</v>
      </c>
      <c r="N10" s="38">
        <f t="shared" si="6"/>
        <v>0</v>
      </c>
      <c r="O10" s="39">
        <f>COUNTIF(Vertices[Eigenvector Centrality], "&gt;= " &amp; N10) - COUNTIF(Vertices[Eigenvector Centrality], "&gt;=" &amp; N11)</f>
        <v>0</v>
      </c>
      <c r="P10" s="38">
        <f t="shared" si="7"/>
        <v>0</v>
      </c>
      <c r="Q10" s="39">
        <f>COUNTIF(Vertices[PageRank], "&gt;= " &amp; P10) - COUNTIF(Vertices[PageRank], "&gt;=" &amp; P11)</f>
        <v>0</v>
      </c>
      <c r="R10" s="38">
        <f t="shared" si="8"/>
        <v>0</v>
      </c>
      <c r="S10" s="44">
        <f>COUNTIF(Vertices[Clustering Coefficient], "&gt;= " &amp; R10) - COUNTIF(Vertices[Clustering Coefficient], "&gt;=" &amp; R11)</f>
        <v>0</v>
      </c>
      <c r="T10" s="38" t="e">
        <f t="shared" ca="1" si="9"/>
        <v>#REF!</v>
      </c>
      <c r="U10" s="39" t="e">
        <f t="shared" ca="1" si="0"/>
        <v>#REF!</v>
      </c>
    </row>
    <row r="11" spans="1:24" x14ac:dyDescent="0.25">
      <c r="A11" s="35"/>
      <c r="B11" s="35"/>
      <c r="D11" s="33">
        <f t="shared" si="1"/>
        <v>0</v>
      </c>
      <c r="E11" s="3">
        <f>COUNTIF(Vertices[Degree], "&gt;= " &amp; D11) - COUNTIF(Vertices[Degree], "&gt;=" &amp; D12)</f>
        <v>0</v>
      </c>
      <c r="F11" s="40">
        <f t="shared" si="2"/>
        <v>0</v>
      </c>
      <c r="G11" s="41">
        <f>COUNTIF(Vertices[In-Degree], "&gt;= " &amp; F11) - COUNTIF(Vertices[In-Degree], "&gt;=" &amp; F12)</f>
        <v>0</v>
      </c>
      <c r="H11" s="40">
        <f t="shared" si="3"/>
        <v>0</v>
      </c>
      <c r="I11" s="41">
        <f>COUNTIF(Vertices[Out-Degree], "&gt;= " &amp; H11) - COUNTIF(Vertices[Out-Degree], "&gt;=" &amp; H12)</f>
        <v>0</v>
      </c>
      <c r="J11" s="40">
        <f t="shared" si="4"/>
        <v>0</v>
      </c>
      <c r="K11" s="41">
        <f>COUNTIF(Vertices[Betweenness Centrality], "&gt;= " &amp; J11) - COUNTIF(Vertices[Betweenness Centrality], "&gt;=" &amp; J12)</f>
        <v>0</v>
      </c>
      <c r="L11" s="40">
        <f t="shared" si="5"/>
        <v>0</v>
      </c>
      <c r="M11" s="41">
        <f>COUNTIF(Vertices[Closeness Centrality], "&gt;= " &amp; L11) - COUNTIF(Vertices[Closeness Centrality], "&gt;=" &amp; L12)</f>
        <v>0</v>
      </c>
      <c r="N11" s="40">
        <f t="shared" si="6"/>
        <v>0</v>
      </c>
      <c r="O11" s="41">
        <f>COUNTIF(Vertices[Eigenvector Centrality], "&gt;= " &amp; N11) - COUNTIF(Vertices[Eigenvector Centrality], "&gt;=" &amp; N12)</f>
        <v>0</v>
      </c>
      <c r="P11" s="40">
        <f t="shared" si="7"/>
        <v>0</v>
      </c>
      <c r="Q11" s="41">
        <f>COUNTIF(Vertices[PageRank], "&gt;= " &amp; P11) - COUNTIF(Vertices[PageRank], "&gt;=" &amp; P12)</f>
        <v>0</v>
      </c>
      <c r="R11" s="40">
        <f t="shared" si="8"/>
        <v>0</v>
      </c>
      <c r="S11" s="45">
        <f>COUNTIF(Vertices[Clustering Coefficient], "&gt;= " &amp; R11) - COUNTIF(Vertices[Clustering Coefficient], "&gt;=" &amp; R12)</f>
        <v>0</v>
      </c>
      <c r="T11" s="40" t="e">
        <f t="shared" ca="1" si="9"/>
        <v>#REF!</v>
      </c>
      <c r="U11" s="41" t="e">
        <f t="shared" ca="1" si="0"/>
        <v>#REF!</v>
      </c>
    </row>
    <row r="12" spans="1:24" x14ac:dyDescent="0.25">
      <c r="A12" s="35"/>
      <c r="B12" s="35"/>
      <c r="D12" s="33">
        <f t="shared" si="1"/>
        <v>0</v>
      </c>
      <c r="E12" s="3">
        <f>COUNTIF(Vertices[Degree], "&gt;= " &amp; D12) - COUNTIF(Vertices[Degree], "&gt;=" &amp; D13)</f>
        <v>0</v>
      </c>
      <c r="F12" s="38">
        <f t="shared" si="2"/>
        <v>0</v>
      </c>
      <c r="G12" s="39">
        <f>COUNTIF(Vertices[In-Degree], "&gt;= " &amp; F12) - COUNTIF(Vertices[In-Degree], "&gt;=" &amp; F13)</f>
        <v>0</v>
      </c>
      <c r="H12" s="38">
        <f t="shared" si="3"/>
        <v>0</v>
      </c>
      <c r="I12" s="39">
        <f>COUNTIF(Vertices[Out-Degree], "&gt;= " &amp; H12) - COUNTIF(Vertices[Out-Degree], "&gt;=" &amp; H13)</f>
        <v>0</v>
      </c>
      <c r="J12" s="38">
        <f t="shared" si="4"/>
        <v>0</v>
      </c>
      <c r="K12" s="39">
        <f>COUNTIF(Vertices[Betweenness Centrality], "&gt;= " &amp; J12) - COUNTIF(Vertices[Betweenness Centrality], "&gt;=" &amp; J13)</f>
        <v>0</v>
      </c>
      <c r="L12" s="38">
        <f t="shared" si="5"/>
        <v>0</v>
      </c>
      <c r="M12" s="39">
        <f>COUNTIF(Vertices[Closeness Centrality], "&gt;= " &amp; L12) - COUNTIF(Vertices[Closeness Centrality], "&gt;=" &amp; L13)</f>
        <v>0</v>
      </c>
      <c r="N12" s="38">
        <f t="shared" si="6"/>
        <v>0</v>
      </c>
      <c r="O12" s="39">
        <f>COUNTIF(Vertices[Eigenvector Centrality], "&gt;= " &amp; N12) - COUNTIF(Vertices[Eigenvector Centrality], "&gt;=" &amp; N13)</f>
        <v>0</v>
      </c>
      <c r="P12" s="38">
        <f t="shared" si="7"/>
        <v>0</v>
      </c>
      <c r="Q12" s="39">
        <f>COUNTIF(Vertices[PageRank], "&gt;= " &amp; P12) - COUNTIF(Vertices[PageRank], "&gt;=" &amp; P13)</f>
        <v>0</v>
      </c>
      <c r="R12" s="38">
        <f t="shared" si="8"/>
        <v>0</v>
      </c>
      <c r="S12" s="44">
        <f>COUNTIF(Vertices[Clustering Coefficient], "&gt;= " &amp; R12) - COUNTIF(Vertices[Clustering Coefficient], "&gt;=" &amp; R13)</f>
        <v>0</v>
      </c>
      <c r="T12" s="38" t="e">
        <f t="shared" ca="1" si="9"/>
        <v>#REF!</v>
      </c>
      <c r="U12" s="39" t="e">
        <f t="shared" ca="1" si="0"/>
        <v>#REF!</v>
      </c>
    </row>
    <row r="13" spans="1:24" x14ac:dyDescent="0.25">
      <c r="A13" s="35"/>
      <c r="B13" s="35"/>
      <c r="D13" s="33">
        <f t="shared" si="1"/>
        <v>0</v>
      </c>
      <c r="E13" s="3">
        <f>COUNTIF(Vertices[Degree], "&gt;= " &amp; D13) - COUNTIF(Vertices[Degree], "&gt;=" &amp; D14)</f>
        <v>0</v>
      </c>
      <c r="F13" s="40">
        <f t="shared" si="2"/>
        <v>0</v>
      </c>
      <c r="G13" s="41">
        <f>COUNTIF(Vertices[In-Degree], "&gt;= " &amp; F13) - COUNTIF(Vertices[In-Degree], "&gt;=" &amp; F14)</f>
        <v>0</v>
      </c>
      <c r="H13" s="40">
        <f t="shared" si="3"/>
        <v>0</v>
      </c>
      <c r="I13" s="41">
        <f>COUNTIF(Vertices[Out-Degree], "&gt;= " &amp; H13) - COUNTIF(Vertices[Out-Degree], "&gt;=" &amp; H14)</f>
        <v>0</v>
      </c>
      <c r="J13" s="40">
        <f t="shared" si="4"/>
        <v>0</v>
      </c>
      <c r="K13" s="41">
        <f>COUNTIF(Vertices[Betweenness Centrality], "&gt;= " &amp; J13) - COUNTIF(Vertices[Betweenness Centrality], "&gt;=" &amp; J14)</f>
        <v>0</v>
      </c>
      <c r="L13" s="40">
        <f t="shared" si="5"/>
        <v>0</v>
      </c>
      <c r="M13" s="41">
        <f>COUNTIF(Vertices[Closeness Centrality], "&gt;= " &amp; L13) - COUNTIF(Vertices[Closeness Centrality], "&gt;=" &amp; L14)</f>
        <v>0</v>
      </c>
      <c r="N13" s="40">
        <f t="shared" si="6"/>
        <v>0</v>
      </c>
      <c r="O13" s="41">
        <f>COUNTIF(Vertices[Eigenvector Centrality], "&gt;= " &amp; N13) - COUNTIF(Vertices[Eigenvector Centrality], "&gt;=" &amp; N14)</f>
        <v>0</v>
      </c>
      <c r="P13" s="40">
        <f t="shared" si="7"/>
        <v>0</v>
      </c>
      <c r="Q13" s="41">
        <f>COUNTIF(Vertices[PageRank], "&gt;= " &amp; P13) - COUNTIF(Vertices[PageRank], "&gt;=" &amp; P14)</f>
        <v>0</v>
      </c>
      <c r="R13" s="40">
        <f t="shared" si="8"/>
        <v>0</v>
      </c>
      <c r="S13" s="45">
        <f>COUNTIF(Vertices[Clustering Coefficient], "&gt;= " &amp; R13) - COUNTIF(Vertices[Clustering Coefficient], "&gt;=" &amp; R14)</f>
        <v>0</v>
      </c>
      <c r="T13" s="40" t="e">
        <f t="shared" ca="1" si="9"/>
        <v>#REF!</v>
      </c>
      <c r="U13" s="41" t="e">
        <f t="shared" ca="1" si="0"/>
        <v>#REF!</v>
      </c>
    </row>
    <row r="14" spans="1:24" x14ac:dyDescent="0.25">
      <c r="A14" s="35"/>
      <c r="B14" s="35"/>
      <c r="D14" s="33">
        <f t="shared" si="1"/>
        <v>0</v>
      </c>
      <c r="E14" s="3">
        <f>COUNTIF(Vertices[Degree], "&gt;= " &amp; D14) - COUNTIF(Vertices[Degree], "&gt;=" &amp; D15)</f>
        <v>0</v>
      </c>
      <c r="F14" s="38">
        <f t="shared" si="2"/>
        <v>0</v>
      </c>
      <c r="G14" s="39">
        <f>COUNTIF(Vertices[In-Degree], "&gt;= " &amp; F14) - COUNTIF(Vertices[In-Degree], "&gt;=" &amp; F15)</f>
        <v>0</v>
      </c>
      <c r="H14" s="38">
        <f t="shared" si="3"/>
        <v>0</v>
      </c>
      <c r="I14" s="39">
        <f>COUNTIF(Vertices[Out-Degree], "&gt;= " &amp; H14) - COUNTIF(Vertices[Out-Degree], "&gt;=" &amp; H15)</f>
        <v>0</v>
      </c>
      <c r="J14" s="38">
        <f t="shared" si="4"/>
        <v>0</v>
      </c>
      <c r="K14" s="39">
        <f>COUNTIF(Vertices[Betweenness Centrality], "&gt;= " &amp; J14) - COUNTIF(Vertices[Betweenness Centrality], "&gt;=" &amp; J15)</f>
        <v>0</v>
      </c>
      <c r="L14" s="38">
        <f t="shared" si="5"/>
        <v>0</v>
      </c>
      <c r="M14" s="39">
        <f>COUNTIF(Vertices[Closeness Centrality], "&gt;= " &amp; L14) - COUNTIF(Vertices[Closeness Centrality], "&gt;=" &amp; L15)</f>
        <v>0</v>
      </c>
      <c r="N14" s="38">
        <f t="shared" si="6"/>
        <v>0</v>
      </c>
      <c r="O14" s="39">
        <f>COUNTIF(Vertices[Eigenvector Centrality], "&gt;= " &amp; N14) - COUNTIF(Vertices[Eigenvector Centrality], "&gt;=" &amp; N15)</f>
        <v>0</v>
      </c>
      <c r="P14" s="38">
        <f t="shared" si="7"/>
        <v>0</v>
      </c>
      <c r="Q14" s="39">
        <f>COUNTIF(Vertices[PageRank], "&gt;= " &amp; P14) - COUNTIF(Vertices[PageRank], "&gt;=" &amp; P15)</f>
        <v>0</v>
      </c>
      <c r="R14" s="38">
        <f t="shared" si="8"/>
        <v>0</v>
      </c>
      <c r="S14" s="44">
        <f>COUNTIF(Vertices[Clustering Coefficient], "&gt;= " &amp; R14) - COUNTIF(Vertices[Clustering Coefficient], "&gt;=" &amp; R15)</f>
        <v>0</v>
      </c>
      <c r="T14" s="38" t="e">
        <f t="shared" ca="1" si="9"/>
        <v>#REF!</v>
      </c>
      <c r="U14" s="39" t="e">
        <f t="shared" ca="1" si="0"/>
        <v>#REF!</v>
      </c>
    </row>
    <row r="15" spans="1:24" x14ac:dyDescent="0.25">
      <c r="A15" s="35"/>
      <c r="B15" s="35"/>
      <c r="D15" s="33">
        <f t="shared" si="1"/>
        <v>0</v>
      </c>
      <c r="E15" s="3">
        <f>COUNTIF(Vertices[Degree], "&gt;= " &amp; D15) - COUNTIF(Vertices[Degree], "&gt;=" &amp; D16)</f>
        <v>0</v>
      </c>
      <c r="F15" s="40">
        <f t="shared" si="2"/>
        <v>0</v>
      </c>
      <c r="G15" s="41">
        <f>COUNTIF(Vertices[In-Degree], "&gt;= " &amp; F15) - COUNTIF(Vertices[In-Degree], "&gt;=" &amp; F16)</f>
        <v>0</v>
      </c>
      <c r="H15" s="40">
        <f t="shared" si="3"/>
        <v>0</v>
      </c>
      <c r="I15" s="41">
        <f>COUNTIF(Vertices[Out-Degree], "&gt;= " &amp; H15) - COUNTIF(Vertices[Out-Degree], "&gt;=" &amp; H16)</f>
        <v>0</v>
      </c>
      <c r="J15" s="40">
        <f t="shared" si="4"/>
        <v>0</v>
      </c>
      <c r="K15" s="41">
        <f>COUNTIF(Vertices[Betweenness Centrality], "&gt;= " &amp; J15) - COUNTIF(Vertices[Betweenness Centrality], "&gt;=" &amp; J16)</f>
        <v>0</v>
      </c>
      <c r="L15" s="40">
        <f t="shared" si="5"/>
        <v>0</v>
      </c>
      <c r="M15" s="41">
        <f>COUNTIF(Vertices[Closeness Centrality], "&gt;= " &amp; L15) - COUNTIF(Vertices[Closeness Centrality], "&gt;=" &amp; L16)</f>
        <v>0</v>
      </c>
      <c r="N15" s="40">
        <f t="shared" si="6"/>
        <v>0</v>
      </c>
      <c r="O15" s="41">
        <f>COUNTIF(Vertices[Eigenvector Centrality], "&gt;= " &amp; N15) - COUNTIF(Vertices[Eigenvector Centrality], "&gt;=" &amp; N16)</f>
        <v>0</v>
      </c>
      <c r="P15" s="40">
        <f t="shared" si="7"/>
        <v>0</v>
      </c>
      <c r="Q15" s="41">
        <f>COUNTIF(Vertices[PageRank], "&gt;= " &amp; P15) - COUNTIF(Vertices[PageRank], "&gt;=" &amp; P16)</f>
        <v>0</v>
      </c>
      <c r="R15" s="40">
        <f t="shared" si="8"/>
        <v>0</v>
      </c>
      <c r="S15" s="45">
        <f>COUNTIF(Vertices[Clustering Coefficient], "&gt;= " &amp; R15) - COUNTIF(Vertices[Clustering Coefficient], "&gt;=" &amp; R16)</f>
        <v>0</v>
      </c>
      <c r="T15" s="40" t="e">
        <f t="shared" ca="1" si="9"/>
        <v>#REF!</v>
      </c>
      <c r="U15" s="41" t="e">
        <f t="shared" ca="1" si="0"/>
        <v>#REF!</v>
      </c>
    </row>
    <row r="16" spans="1:24" x14ac:dyDescent="0.25">
      <c r="A16" s="35"/>
      <c r="B16" s="35"/>
      <c r="D16" s="33">
        <f t="shared" si="1"/>
        <v>0</v>
      </c>
      <c r="E16" s="3">
        <f>COUNTIF(Vertices[Degree], "&gt;= " &amp; D16) - COUNTIF(Vertices[Degree], "&gt;=" &amp; D17)</f>
        <v>0</v>
      </c>
      <c r="F16" s="38">
        <f t="shared" si="2"/>
        <v>0</v>
      </c>
      <c r="G16" s="39">
        <f>COUNTIF(Vertices[In-Degree], "&gt;= " &amp; F16) - COUNTIF(Vertices[In-Degree], "&gt;=" &amp; F17)</f>
        <v>0</v>
      </c>
      <c r="H16" s="38">
        <f t="shared" si="3"/>
        <v>0</v>
      </c>
      <c r="I16" s="39">
        <f>COUNTIF(Vertices[Out-Degree], "&gt;= " &amp; H16) - COUNTIF(Vertices[Out-Degree], "&gt;=" &amp; H17)</f>
        <v>0</v>
      </c>
      <c r="J16" s="38">
        <f t="shared" si="4"/>
        <v>0</v>
      </c>
      <c r="K16" s="39">
        <f>COUNTIF(Vertices[Betweenness Centrality], "&gt;= " &amp; J16) - COUNTIF(Vertices[Betweenness Centrality], "&gt;=" &amp; J17)</f>
        <v>0</v>
      </c>
      <c r="L16" s="38">
        <f t="shared" si="5"/>
        <v>0</v>
      </c>
      <c r="M16" s="39">
        <f>COUNTIF(Vertices[Closeness Centrality], "&gt;= " &amp; L16) - COUNTIF(Vertices[Closeness Centrality], "&gt;=" &amp; L17)</f>
        <v>0</v>
      </c>
      <c r="N16" s="38">
        <f t="shared" si="6"/>
        <v>0</v>
      </c>
      <c r="O16" s="39">
        <f>COUNTIF(Vertices[Eigenvector Centrality], "&gt;= " &amp; N16) - COUNTIF(Vertices[Eigenvector Centrality], "&gt;=" &amp; N17)</f>
        <v>0</v>
      </c>
      <c r="P16" s="38">
        <f t="shared" si="7"/>
        <v>0</v>
      </c>
      <c r="Q16" s="39">
        <f>COUNTIF(Vertices[PageRank], "&gt;= " &amp; P16) - COUNTIF(Vertices[PageRank], "&gt;=" &amp; P17)</f>
        <v>0</v>
      </c>
      <c r="R16" s="38">
        <f t="shared" si="8"/>
        <v>0</v>
      </c>
      <c r="S16" s="44">
        <f>COUNTIF(Vertices[Clustering Coefficient], "&gt;= " &amp; R16) - COUNTIF(Vertices[Clustering Coefficient], "&gt;=" &amp; R17)</f>
        <v>0</v>
      </c>
      <c r="T16" s="38" t="e">
        <f t="shared" ca="1" si="9"/>
        <v>#REF!</v>
      </c>
      <c r="U16" s="39" t="e">
        <f t="shared" ca="1" si="0"/>
        <v>#REF!</v>
      </c>
    </row>
    <row r="17" spans="1:21" x14ac:dyDescent="0.25">
      <c r="A17" s="35"/>
      <c r="B17" s="35"/>
      <c r="D17" s="33">
        <f t="shared" si="1"/>
        <v>0</v>
      </c>
      <c r="E17" s="3">
        <f>COUNTIF(Vertices[Degree], "&gt;= " &amp; D17) - COUNTIF(Vertices[Degree], "&gt;=" &amp; D18)</f>
        <v>0</v>
      </c>
      <c r="F17" s="40">
        <f t="shared" si="2"/>
        <v>0</v>
      </c>
      <c r="G17" s="41">
        <f>COUNTIF(Vertices[In-Degree], "&gt;= " &amp; F17) - COUNTIF(Vertices[In-Degree], "&gt;=" &amp; F18)</f>
        <v>0</v>
      </c>
      <c r="H17" s="40">
        <f t="shared" si="3"/>
        <v>0</v>
      </c>
      <c r="I17" s="41">
        <f>COUNTIF(Vertices[Out-Degree], "&gt;= " &amp; H17) - COUNTIF(Vertices[Out-Degree], "&gt;=" &amp; H18)</f>
        <v>0</v>
      </c>
      <c r="J17" s="40">
        <f t="shared" si="4"/>
        <v>0</v>
      </c>
      <c r="K17" s="41">
        <f>COUNTIF(Vertices[Betweenness Centrality], "&gt;= " &amp; J17) - COUNTIF(Vertices[Betweenness Centrality], "&gt;=" &amp; J18)</f>
        <v>0</v>
      </c>
      <c r="L17" s="40">
        <f t="shared" si="5"/>
        <v>0</v>
      </c>
      <c r="M17" s="41">
        <f>COUNTIF(Vertices[Closeness Centrality], "&gt;= " &amp; L17) - COUNTIF(Vertices[Closeness Centrality], "&gt;=" &amp; L18)</f>
        <v>0</v>
      </c>
      <c r="N17" s="40">
        <f t="shared" si="6"/>
        <v>0</v>
      </c>
      <c r="O17" s="41">
        <f>COUNTIF(Vertices[Eigenvector Centrality], "&gt;= " &amp; N17) - COUNTIF(Vertices[Eigenvector Centrality], "&gt;=" &amp; N18)</f>
        <v>0</v>
      </c>
      <c r="P17" s="40">
        <f t="shared" si="7"/>
        <v>0</v>
      </c>
      <c r="Q17" s="41">
        <f>COUNTIF(Vertices[PageRank], "&gt;= " &amp; P17) - COUNTIF(Vertices[PageRank], "&gt;=" &amp; P18)</f>
        <v>0</v>
      </c>
      <c r="R17" s="40">
        <f t="shared" si="8"/>
        <v>0</v>
      </c>
      <c r="S17" s="45">
        <f>COUNTIF(Vertices[Clustering Coefficient], "&gt;= " &amp; R17) - COUNTIF(Vertices[Clustering Coefficient], "&gt;=" &amp; R18)</f>
        <v>0</v>
      </c>
      <c r="T17" s="40" t="e">
        <f t="shared" ca="1" si="9"/>
        <v>#REF!</v>
      </c>
      <c r="U17" s="41" t="e">
        <f t="shared" ca="1" si="0"/>
        <v>#REF!</v>
      </c>
    </row>
    <row r="18" spans="1:21" x14ac:dyDescent="0.25">
      <c r="A18" s="35"/>
      <c r="B18" s="35"/>
      <c r="D18" s="33">
        <f t="shared" si="1"/>
        <v>0</v>
      </c>
      <c r="E18" s="3">
        <f>COUNTIF(Vertices[Degree], "&gt;= " &amp; D18) - COUNTIF(Vertices[Degree], "&gt;=" &amp; D19)</f>
        <v>0</v>
      </c>
      <c r="F18" s="38">
        <f t="shared" si="2"/>
        <v>0</v>
      </c>
      <c r="G18" s="39">
        <f>COUNTIF(Vertices[In-Degree], "&gt;= " &amp; F18) - COUNTIF(Vertices[In-Degree], "&gt;=" &amp; F19)</f>
        <v>0</v>
      </c>
      <c r="H18" s="38">
        <f t="shared" si="3"/>
        <v>0</v>
      </c>
      <c r="I18" s="39">
        <f>COUNTIF(Vertices[Out-Degree], "&gt;= " &amp; H18) - COUNTIF(Vertices[Out-Degree], "&gt;=" &amp; H19)</f>
        <v>0</v>
      </c>
      <c r="J18" s="38">
        <f t="shared" si="4"/>
        <v>0</v>
      </c>
      <c r="K18" s="39">
        <f>COUNTIF(Vertices[Betweenness Centrality], "&gt;= " &amp; J18) - COUNTIF(Vertices[Betweenness Centrality], "&gt;=" &amp; J19)</f>
        <v>0</v>
      </c>
      <c r="L18" s="38">
        <f t="shared" si="5"/>
        <v>0</v>
      </c>
      <c r="M18" s="39">
        <f>COUNTIF(Vertices[Closeness Centrality], "&gt;= " &amp; L18) - COUNTIF(Vertices[Closeness Centrality], "&gt;=" &amp; L19)</f>
        <v>0</v>
      </c>
      <c r="N18" s="38">
        <f t="shared" si="6"/>
        <v>0</v>
      </c>
      <c r="O18" s="39">
        <f>COUNTIF(Vertices[Eigenvector Centrality], "&gt;= " &amp; N18) - COUNTIF(Vertices[Eigenvector Centrality], "&gt;=" &amp; N19)</f>
        <v>0</v>
      </c>
      <c r="P18" s="38">
        <f t="shared" si="7"/>
        <v>0</v>
      </c>
      <c r="Q18" s="39">
        <f>COUNTIF(Vertices[PageRank], "&gt;= " &amp; P18) - COUNTIF(Vertices[PageRank], "&gt;=" &amp; P19)</f>
        <v>0</v>
      </c>
      <c r="R18" s="38">
        <f t="shared" si="8"/>
        <v>0</v>
      </c>
      <c r="S18" s="44">
        <f>COUNTIF(Vertices[Clustering Coefficient], "&gt;= " &amp; R18) - COUNTIF(Vertices[Clustering Coefficient], "&gt;=" &amp; R19)</f>
        <v>0</v>
      </c>
      <c r="T18" s="38" t="e">
        <f t="shared" ca="1" si="9"/>
        <v>#REF!</v>
      </c>
      <c r="U18" s="39" t="e">
        <f t="shared" ca="1" si="0"/>
        <v>#REF!</v>
      </c>
    </row>
    <row r="19" spans="1:21" x14ac:dyDescent="0.25">
      <c r="A19" s="35"/>
      <c r="B19" s="35"/>
      <c r="D19" s="33">
        <f t="shared" si="1"/>
        <v>0</v>
      </c>
      <c r="E19" s="3">
        <f>COUNTIF(Vertices[Degree], "&gt;= " &amp; D19) - COUNTIF(Vertices[Degree], "&gt;=" &amp; D20)</f>
        <v>0</v>
      </c>
      <c r="F19" s="40">
        <f t="shared" si="2"/>
        <v>0</v>
      </c>
      <c r="G19" s="41">
        <f>COUNTIF(Vertices[In-Degree], "&gt;= " &amp; F19) - COUNTIF(Vertices[In-Degree], "&gt;=" &amp; F20)</f>
        <v>0</v>
      </c>
      <c r="H19" s="40">
        <f t="shared" si="3"/>
        <v>0</v>
      </c>
      <c r="I19" s="41">
        <f>COUNTIF(Vertices[Out-Degree], "&gt;= " &amp; H19) - COUNTIF(Vertices[Out-Degree], "&gt;=" &amp; H20)</f>
        <v>0</v>
      </c>
      <c r="J19" s="40">
        <f t="shared" si="4"/>
        <v>0</v>
      </c>
      <c r="K19" s="41">
        <f>COUNTIF(Vertices[Betweenness Centrality], "&gt;= " &amp; J19) - COUNTIF(Vertices[Betweenness Centrality], "&gt;=" &amp; J20)</f>
        <v>0</v>
      </c>
      <c r="L19" s="40">
        <f t="shared" si="5"/>
        <v>0</v>
      </c>
      <c r="M19" s="41">
        <f>COUNTIF(Vertices[Closeness Centrality], "&gt;= " &amp; L19) - COUNTIF(Vertices[Closeness Centrality], "&gt;=" &amp; L20)</f>
        <v>0</v>
      </c>
      <c r="N19" s="40">
        <f t="shared" si="6"/>
        <v>0</v>
      </c>
      <c r="O19" s="41">
        <f>COUNTIF(Vertices[Eigenvector Centrality], "&gt;= " &amp; N19) - COUNTIF(Vertices[Eigenvector Centrality], "&gt;=" &amp; N20)</f>
        <v>0</v>
      </c>
      <c r="P19" s="40">
        <f t="shared" si="7"/>
        <v>0</v>
      </c>
      <c r="Q19" s="41">
        <f>COUNTIF(Vertices[PageRank], "&gt;= " &amp; P19) - COUNTIF(Vertices[PageRank], "&gt;=" &amp; P20)</f>
        <v>0</v>
      </c>
      <c r="R19" s="40">
        <f t="shared" si="8"/>
        <v>0</v>
      </c>
      <c r="S19" s="45">
        <f>COUNTIF(Vertices[Clustering Coefficient], "&gt;= " &amp; R19) - COUNTIF(Vertices[Clustering Coefficient], "&gt;=" &amp; R20)</f>
        <v>0</v>
      </c>
      <c r="T19" s="40" t="e">
        <f t="shared" ca="1" si="9"/>
        <v>#REF!</v>
      </c>
      <c r="U19" s="41" t="e">
        <f t="shared" ca="1" si="0"/>
        <v>#REF!</v>
      </c>
    </row>
    <row r="20" spans="1:21" x14ac:dyDescent="0.25">
      <c r="A20" s="35"/>
      <c r="B20" s="35"/>
      <c r="D20" s="33">
        <f t="shared" si="1"/>
        <v>0</v>
      </c>
      <c r="E20" s="3">
        <f>COUNTIF(Vertices[Degree], "&gt;= " &amp; D20) - COUNTIF(Vertices[Degree], "&gt;=" &amp; D21)</f>
        <v>0</v>
      </c>
      <c r="F20" s="38">
        <f t="shared" si="2"/>
        <v>0</v>
      </c>
      <c r="G20" s="39">
        <f>COUNTIF(Vertices[In-Degree], "&gt;= " &amp; F20) - COUNTIF(Vertices[In-Degree], "&gt;=" &amp; F21)</f>
        <v>0</v>
      </c>
      <c r="H20" s="38">
        <f t="shared" si="3"/>
        <v>0</v>
      </c>
      <c r="I20" s="39">
        <f>COUNTIF(Vertices[Out-Degree], "&gt;= " &amp; H20) - COUNTIF(Vertices[Out-Degree], "&gt;=" &amp; H21)</f>
        <v>0</v>
      </c>
      <c r="J20" s="38">
        <f t="shared" si="4"/>
        <v>0</v>
      </c>
      <c r="K20" s="39">
        <f>COUNTIF(Vertices[Betweenness Centrality], "&gt;= " &amp; J20) - COUNTIF(Vertices[Betweenness Centrality], "&gt;=" &amp; J21)</f>
        <v>0</v>
      </c>
      <c r="L20" s="38">
        <f t="shared" si="5"/>
        <v>0</v>
      </c>
      <c r="M20" s="39">
        <f>COUNTIF(Vertices[Closeness Centrality], "&gt;= " &amp; L20) - COUNTIF(Vertices[Closeness Centrality], "&gt;=" &amp; L21)</f>
        <v>0</v>
      </c>
      <c r="N20" s="38">
        <f t="shared" si="6"/>
        <v>0</v>
      </c>
      <c r="O20" s="39">
        <f>COUNTIF(Vertices[Eigenvector Centrality], "&gt;= " &amp; N20) - COUNTIF(Vertices[Eigenvector Centrality], "&gt;=" &amp; N21)</f>
        <v>0</v>
      </c>
      <c r="P20" s="38">
        <f t="shared" si="7"/>
        <v>0</v>
      </c>
      <c r="Q20" s="39">
        <f>COUNTIF(Vertices[PageRank], "&gt;= " &amp; P20) - COUNTIF(Vertices[PageRank], "&gt;=" &amp; P21)</f>
        <v>0</v>
      </c>
      <c r="R20" s="38">
        <f t="shared" si="8"/>
        <v>0</v>
      </c>
      <c r="S20" s="44">
        <f>COUNTIF(Vertices[Clustering Coefficient], "&gt;= " &amp; R20) - COUNTIF(Vertices[Clustering Coefficient], "&gt;=" &amp; R21)</f>
        <v>0</v>
      </c>
      <c r="T20" s="38" t="e">
        <f t="shared" ca="1" si="9"/>
        <v>#REF!</v>
      </c>
      <c r="U20" s="39" t="e">
        <f t="shared" ca="1" si="0"/>
        <v>#REF!</v>
      </c>
    </row>
    <row r="21" spans="1:21" x14ac:dyDescent="0.25">
      <c r="A21" s="35"/>
      <c r="B21" s="35"/>
      <c r="D21" s="33">
        <f t="shared" si="1"/>
        <v>0</v>
      </c>
      <c r="E21" s="3">
        <f>COUNTIF(Vertices[Degree], "&gt;= " &amp; D21) - COUNTIF(Vertices[Degree], "&gt;=" &amp; D22)</f>
        <v>0</v>
      </c>
      <c r="F21" s="40">
        <f t="shared" si="2"/>
        <v>0</v>
      </c>
      <c r="G21" s="41">
        <f>COUNTIF(Vertices[In-Degree], "&gt;= " &amp; F21) - COUNTIF(Vertices[In-Degree], "&gt;=" &amp; F22)</f>
        <v>0</v>
      </c>
      <c r="H21" s="40">
        <f t="shared" si="3"/>
        <v>0</v>
      </c>
      <c r="I21" s="41">
        <f>COUNTIF(Vertices[Out-Degree], "&gt;= " &amp; H21) - COUNTIF(Vertices[Out-Degree], "&gt;=" &amp; H22)</f>
        <v>0</v>
      </c>
      <c r="J21" s="40">
        <f t="shared" si="4"/>
        <v>0</v>
      </c>
      <c r="K21" s="41">
        <f>COUNTIF(Vertices[Betweenness Centrality], "&gt;= " &amp; J21) - COUNTIF(Vertices[Betweenness Centrality], "&gt;=" &amp; J22)</f>
        <v>0</v>
      </c>
      <c r="L21" s="40">
        <f t="shared" si="5"/>
        <v>0</v>
      </c>
      <c r="M21" s="41">
        <f>COUNTIF(Vertices[Closeness Centrality], "&gt;= " &amp; L21) - COUNTIF(Vertices[Closeness Centrality], "&gt;=" &amp; L22)</f>
        <v>0</v>
      </c>
      <c r="N21" s="40">
        <f t="shared" si="6"/>
        <v>0</v>
      </c>
      <c r="O21" s="41">
        <f>COUNTIF(Vertices[Eigenvector Centrality], "&gt;= " &amp; N21) - COUNTIF(Vertices[Eigenvector Centrality], "&gt;=" &amp; N22)</f>
        <v>0</v>
      </c>
      <c r="P21" s="40">
        <f t="shared" si="7"/>
        <v>0</v>
      </c>
      <c r="Q21" s="41">
        <f>COUNTIF(Vertices[PageRank], "&gt;= " &amp; P21) - COUNTIF(Vertices[PageRank], "&gt;=" &amp; P22)</f>
        <v>0</v>
      </c>
      <c r="R21" s="40">
        <f t="shared" si="8"/>
        <v>0</v>
      </c>
      <c r="S21" s="45">
        <f>COUNTIF(Vertices[Clustering Coefficient], "&gt;= " &amp; R21) - COUNTIF(Vertices[Clustering Coefficient], "&gt;=" &amp; R22)</f>
        <v>0</v>
      </c>
      <c r="T21" s="40" t="e">
        <f t="shared" ca="1" si="9"/>
        <v>#REF!</v>
      </c>
      <c r="U21" s="41" t="e">
        <f t="shared" ca="1" si="0"/>
        <v>#REF!</v>
      </c>
    </row>
    <row r="22" spans="1:21" x14ac:dyDescent="0.25">
      <c r="A22" s="35"/>
      <c r="B22" s="35"/>
      <c r="D22" s="33">
        <f t="shared" si="1"/>
        <v>0</v>
      </c>
      <c r="E22" s="3">
        <f>COUNTIF(Vertices[Degree], "&gt;= " &amp; D22) - COUNTIF(Vertices[Degree], "&gt;=" &amp; D23)</f>
        <v>0</v>
      </c>
      <c r="F22" s="38">
        <f t="shared" si="2"/>
        <v>0</v>
      </c>
      <c r="G22" s="39">
        <f>COUNTIF(Vertices[In-Degree], "&gt;= " &amp; F22) - COUNTIF(Vertices[In-Degree], "&gt;=" &amp; F23)</f>
        <v>0</v>
      </c>
      <c r="H22" s="38">
        <f t="shared" si="3"/>
        <v>0</v>
      </c>
      <c r="I22" s="39">
        <f>COUNTIF(Vertices[Out-Degree], "&gt;= " &amp; H22) - COUNTIF(Vertices[Out-Degree], "&gt;=" &amp; H23)</f>
        <v>0</v>
      </c>
      <c r="J22" s="38">
        <f t="shared" si="4"/>
        <v>0</v>
      </c>
      <c r="K22" s="39">
        <f>COUNTIF(Vertices[Betweenness Centrality], "&gt;= " &amp; J22) - COUNTIF(Vertices[Betweenness Centrality], "&gt;=" &amp; J23)</f>
        <v>0</v>
      </c>
      <c r="L22" s="38">
        <f t="shared" si="5"/>
        <v>0</v>
      </c>
      <c r="M22" s="39">
        <f>COUNTIF(Vertices[Closeness Centrality], "&gt;= " &amp; L22) - COUNTIF(Vertices[Closeness Centrality], "&gt;=" &amp; L23)</f>
        <v>0</v>
      </c>
      <c r="N22" s="38">
        <f t="shared" si="6"/>
        <v>0</v>
      </c>
      <c r="O22" s="39">
        <f>COUNTIF(Vertices[Eigenvector Centrality], "&gt;= " &amp; N22) - COUNTIF(Vertices[Eigenvector Centrality], "&gt;=" &amp; N23)</f>
        <v>0</v>
      </c>
      <c r="P22" s="38">
        <f t="shared" si="7"/>
        <v>0</v>
      </c>
      <c r="Q22" s="39">
        <f>COUNTIF(Vertices[PageRank], "&gt;= " &amp; P22) - COUNTIF(Vertices[PageRank], "&gt;=" &amp; P23)</f>
        <v>0</v>
      </c>
      <c r="R22" s="38">
        <f t="shared" si="8"/>
        <v>0</v>
      </c>
      <c r="S22" s="44">
        <f>COUNTIF(Vertices[Clustering Coefficient], "&gt;= " &amp; R22) - COUNTIF(Vertices[Clustering Coefficient], "&gt;=" &amp; R23)</f>
        <v>0</v>
      </c>
      <c r="T22" s="38" t="e">
        <f t="shared" ca="1" si="9"/>
        <v>#REF!</v>
      </c>
      <c r="U22" s="39" t="e">
        <f t="shared" ca="1" si="0"/>
        <v>#REF!</v>
      </c>
    </row>
    <row r="23" spans="1:21" x14ac:dyDescent="0.25">
      <c r="A23" s="35"/>
      <c r="B23" s="35"/>
      <c r="D23" s="33">
        <f t="shared" si="1"/>
        <v>0</v>
      </c>
      <c r="E23" s="3">
        <f>COUNTIF(Vertices[Degree], "&gt;= " &amp; D23) - COUNTIF(Vertices[Degree], "&gt;=" &amp; D24)</f>
        <v>0</v>
      </c>
      <c r="F23" s="40">
        <f t="shared" si="2"/>
        <v>0</v>
      </c>
      <c r="G23" s="41">
        <f>COUNTIF(Vertices[In-Degree], "&gt;= " &amp; F23) - COUNTIF(Vertices[In-Degree], "&gt;=" &amp; F24)</f>
        <v>0</v>
      </c>
      <c r="H23" s="40">
        <f t="shared" si="3"/>
        <v>0</v>
      </c>
      <c r="I23" s="41">
        <f>COUNTIF(Vertices[Out-Degree], "&gt;= " &amp; H23) - COUNTIF(Vertices[Out-Degree], "&gt;=" &amp; H24)</f>
        <v>0</v>
      </c>
      <c r="J23" s="40">
        <f t="shared" si="4"/>
        <v>0</v>
      </c>
      <c r="K23" s="41">
        <f>COUNTIF(Vertices[Betweenness Centrality], "&gt;= " &amp; J23) - COUNTIF(Vertices[Betweenness Centrality], "&gt;=" &amp; J24)</f>
        <v>0</v>
      </c>
      <c r="L23" s="40">
        <f t="shared" si="5"/>
        <v>0</v>
      </c>
      <c r="M23" s="41">
        <f>COUNTIF(Vertices[Closeness Centrality], "&gt;= " &amp; L23) - COUNTIF(Vertices[Closeness Centrality], "&gt;=" &amp; L24)</f>
        <v>0</v>
      </c>
      <c r="N23" s="40">
        <f t="shared" si="6"/>
        <v>0</v>
      </c>
      <c r="O23" s="41">
        <f>COUNTIF(Vertices[Eigenvector Centrality], "&gt;= " &amp; N23) - COUNTIF(Vertices[Eigenvector Centrality], "&gt;=" &amp; N24)</f>
        <v>0</v>
      </c>
      <c r="P23" s="40">
        <f t="shared" si="7"/>
        <v>0</v>
      </c>
      <c r="Q23" s="41">
        <f>COUNTIF(Vertices[PageRank], "&gt;= " &amp; P23) - COUNTIF(Vertices[PageRank], "&gt;=" &amp; P24)</f>
        <v>0</v>
      </c>
      <c r="R23" s="40">
        <f t="shared" si="8"/>
        <v>0</v>
      </c>
      <c r="S23" s="45">
        <f>COUNTIF(Vertices[Clustering Coefficient], "&gt;= " &amp; R23) - COUNTIF(Vertices[Clustering Coefficient], "&gt;=" &amp; R24)</f>
        <v>0</v>
      </c>
      <c r="T23" s="40" t="e">
        <f t="shared" ca="1" si="9"/>
        <v>#REF!</v>
      </c>
      <c r="U23" s="41" t="e">
        <f t="shared" ca="1" si="0"/>
        <v>#REF!</v>
      </c>
    </row>
    <row r="24" spans="1:21" x14ac:dyDescent="0.25">
      <c r="A24" s="35"/>
      <c r="B24" s="35"/>
      <c r="D24" s="33">
        <f t="shared" si="1"/>
        <v>0</v>
      </c>
      <c r="E24" s="3">
        <f>COUNTIF(Vertices[Degree], "&gt;= " &amp; D24) - COUNTIF(Vertices[Degree], "&gt;=" &amp; D25)</f>
        <v>0</v>
      </c>
      <c r="F24" s="38">
        <f t="shared" si="2"/>
        <v>0</v>
      </c>
      <c r="G24" s="39">
        <f>COUNTIF(Vertices[In-Degree], "&gt;= " &amp; F24) - COUNTIF(Vertices[In-Degree], "&gt;=" &amp; F25)</f>
        <v>0</v>
      </c>
      <c r="H24" s="38">
        <f t="shared" si="3"/>
        <v>0</v>
      </c>
      <c r="I24" s="39">
        <f>COUNTIF(Vertices[Out-Degree], "&gt;= " &amp; H24) - COUNTIF(Vertices[Out-Degree], "&gt;=" &amp; H25)</f>
        <v>0</v>
      </c>
      <c r="J24" s="38">
        <f t="shared" si="4"/>
        <v>0</v>
      </c>
      <c r="K24" s="39">
        <f>COUNTIF(Vertices[Betweenness Centrality], "&gt;= " &amp; J24) - COUNTIF(Vertices[Betweenness Centrality], "&gt;=" &amp; J25)</f>
        <v>0</v>
      </c>
      <c r="L24" s="38">
        <f t="shared" si="5"/>
        <v>0</v>
      </c>
      <c r="M24" s="39">
        <f>COUNTIF(Vertices[Closeness Centrality], "&gt;= " &amp; L24) - COUNTIF(Vertices[Closeness Centrality], "&gt;=" &amp; L25)</f>
        <v>0</v>
      </c>
      <c r="N24" s="38">
        <f t="shared" si="6"/>
        <v>0</v>
      </c>
      <c r="O24" s="39">
        <f>COUNTIF(Vertices[Eigenvector Centrality], "&gt;= " &amp; N24) - COUNTIF(Vertices[Eigenvector Centrality], "&gt;=" &amp; N25)</f>
        <v>0</v>
      </c>
      <c r="P24" s="38">
        <f t="shared" si="7"/>
        <v>0</v>
      </c>
      <c r="Q24" s="39">
        <f>COUNTIF(Vertices[PageRank], "&gt;= " &amp; P24) - COUNTIF(Vertices[PageRank], "&gt;=" &amp; P25)</f>
        <v>0</v>
      </c>
      <c r="R24" s="38">
        <f t="shared" si="8"/>
        <v>0</v>
      </c>
      <c r="S24" s="44">
        <f>COUNTIF(Vertices[Clustering Coefficient], "&gt;= " &amp; R24) - COUNTIF(Vertices[Clustering Coefficient], "&gt;=" &amp; R25)</f>
        <v>0</v>
      </c>
      <c r="T24" s="38" t="e">
        <f t="shared" ca="1" si="9"/>
        <v>#REF!</v>
      </c>
      <c r="U24" s="39" t="e">
        <f t="shared" ca="1" si="0"/>
        <v>#REF!</v>
      </c>
    </row>
    <row r="25" spans="1:21" x14ac:dyDescent="0.25">
      <c r="A25" s="35"/>
      <c r="B25" s="35"/>
      <c r="D25" s="33">
        <f t="shared" si="1"/>
        <v>0</v>
      </c>
      <c r="E25" s="3">
        <f>COUNTIF(Vertices[Degree], "&gt;= " &amp; D25) - COUNTIF(Vertices[Degree], "&gt;=" &amp; D26)</f>
        <v>0</v>
      </c>
      <c r="F25" s="40">
        <f t="shared" si="2"/>
        <v>0</v>
      </c>
      <c r="G25" s="41">
        <f>COUNTIF(Vertices[In-Degree], "&gt;= " &amp; F25) - COUNTIF(Vertices[In-Degree], "&gt;=" &amp; F26)</f>
        <v>0</v>
      </c>
      <c r="H25" s="40">
        <f t="shared" si="3"/>
        <v>0</v>
      </c>
      <c r="I25" s="41">
        <f>COUNTIF(Vertices[Out-Degree], "&gt;= " &amp; H25) - COUNTIF(Vertices[Out-Degree], "&gt;=" &amp; H26)</f>
        <v>0</v>
      </c>
      <c r="J25" s="40">
        <f t="shared" si="4"/>
        <v>0</v>
      </c>
      <c r="K25" s="41">
        <f>COUNTIF(Vertices[Betweenness Centrality], "&gt;= " &amp; J25) - COUNTIF(Vertices[Betweenness Centrality], "&gt;=" &amp; J26)</f>
        <v>0</v>
      </c>
      <c r="L25" s="40">
        <f t="shared" si="5"/>
        <v>0</v>
      </c>
      <c r="M25" s="41">
        <f>COUNTIF(Vertices[Closeness Centrality], "&gt;= " &amp; L25) - COUNTIF(Vertices[Closeness Centrality], "&gt;=" &amp; L26)</f>
        <v>0</v>
      </c>
      <c r="N25" s="40">
        <f t="shared" si="6"/>
        <v>0</v>
      </c>
      <c r="O25" s="41">
        <f>COUNTIF(Vertices[Eigenvector Centrality], "&gt;= " &amp; N25) - COUNTIF(Vertices[Eigenvector Centrality], "&gt;=" &amp; N26)</f>
        <v>0</v>
      </c>
      <c r="P25" s="40">
        <f t="shared" si="7"/>
        <v>0</v>
      </c>
      <c r="Q25" s="41">
        <f>COUNTIF(Vertices[PageRank], "&gt;= " &amp; P25) - COUNTIF(Vertices[PageRank], "&gt;=" &amp; P26)</f>
        <v>0</v>
      </c>
      <c r="R25" s="40">
        <f t="shared" si="8"/>
        <v>0</v>
      </c>
      <c r="S25" s="45">
        <f>COUNTIF(Vertices[Clustering Coefficient], "&gt;= " &amp; R25) - COUNTIF(Vertices[Clustering Coefficient], "&gt;=" &amp; R26)</f>
        <v>0</v>
      </c>
      <c r="T25" s="40" t="e">
        <f t="shared" ca="1" si="9"/>
        <v>#REF!</v>
      </c>
      <c r="U25" s="41" t="e">
        <f t="shared" ca="1" si="0"/>
        <v>#REF!</v>
      </c>
    </row>
    <row r="26" spans="1:21" x14ac:dyDescent="0.25">
      <c r="A26" s="35"/>
      <c r="B26" s="35"/>
      <c r="D26" s="33">
        <f t="shared" si="1"/>
        <v>0</v>
      </c>
      <c r="E26" s="3">
        <f>COUNTIF(Vertices[Degree], "&gt;= " &amp; D26) - COUNTIF(Vertices[Degree], "&gt;=" &amp; D27)</f>
        <v>0</v>
      </c>
      <c r="F26" s="38">
        <f t="shared" si="2"/>
        <v>0</v>
      </c>
      <c r="G26" s="39">
        <f>COUNTIF(Vertices[In-Degree], "&gt;= " &amp; F26) - COUNTIF(Vertices[In-Degree], "&gt;=" &amp; F27)</f>
        <v>0</v>
      </c>
      <c r="H26" s="38">
        <f t="shared" si="3"/>
        <v>0</v>
      </c>
      <c r="I26" s="39">
        <f>COUNTIF(Vertices[Out-Degree], "&gt;= " &amp; H26) - COUNTIF(Vertices[Out-Degree], "&gt;=" &amp; H27)</f>
        <v>0</v>
      </c>
      <c r="J26" s="38">
        <f t="shared" si="4"/>
        <v>0</v>
      </c>
      <c r="K26" s="39">
        <f>COUNTIF(Vertices[Betweenness Centrality], "&gt;= " &amp; J26) - COUNTIF(Vertices[Betweenness Centrality], "&gt;=" &amp; J27)</f>
        <v>0</v>
      </c>
      <c r="L26" s="38">
        <f t="shared" si="5"/>
        <v>0</v>
      </c>
      <c r="M26" s="39">
        <f>COUNTIF(Vertices[Closeness Centrality], "&gt;= " &amp; L26) - COUNTIF(Vertices[Closeness Centrality], "&gt;=" &amp; L27)</f>
        <v>0</v>
      </c>
      <c r="N26" s="38">
        <f t="shared" si="6"/>
        <v>0</v>
      </c>
      <c r="O26" s="39">
        <f>COUNTIF(Vertices[Eigenvector Centrality], "&gt;= " &amp; N26) - COUNTIF(Vertices[Eigenvector Centrality], "&gt;=" &amp; N27)</f>
        <v>0</v>
      </c>
      <c r="P26" s="38">
        <f t="shared" si="7"/>
        <v>0</v>
      </c>
      <c r="Q26" s="39">
        <f>COUNTIF(Vertices[PageRank], "&gt;= " &amp; P26) - COUNTIF(Vertices[PageRank], "&gt;=" &amp; P27)</f>
        <v>0</v>
      </c>
      <c r="R26" s="38">
        <f t="shared" si="8"/>
        <v>0</v>
      </c>
      <c r="S26" s="44">
        <f>COUNTIF(Vertices[Clustering Coefficient], "&gt;= " &amp; R26) - COUNTIF(Vertices[Clustering Coefficient], "&gt;=" &amp; R27)</f>
        <v>0</v>
      </c>
      <c r="T26" s="38" t="e">
        <f t="shared" ca="1" si="9"/>
        <v>#REF!</v>
      </c>
      <c r="U26" s="39" t="e">
        <f t="shared" ca="1" si="0"/>
        <v>#REF!</v>
      </c>
    </row>
    <row r="27" spans="1:21" x14ac:dyDescent="0.25">
      <c r="D27" s="33">
        <f t="shared" si="1"/>
        <v>0</v>
      </c>
      <c r="E27" s="3">
        <f>COUNTIF(Vertices[Degree], "&gt;= " &amp; D27) - COUNTIF(Vertices[Degree], "&gt;=" &amp; D28)</f>
        <v>0</v>
      </c>
      <c r="F27" s="40">
        <f t="shared" si="2"/>
        <v>0</v>
      </c>
      <c r="G27" s="41">
        <f>COUNTIF(Vertices[In-Degree], "&gt;= " &amp; F27) - COUNTIF(Vertices[In-Degree], "&gt;=" &amp; F28)</f>
        <v>0</v>
      </c>
      <c r="H27" s="40">
        <f t="shared" si="3"/>
        <v>0</v>
      </c>
      <c r="I27" s="41">
        <f>COUNTIF(Vertices[Out-Degree], "&gt;= " &amp; H27) - COUNTIF(Vertices[Out-Degree], "&gt;=" &amp; H28)</f>
        <v>0</v>
      </c>
      <c r="J27" s="40">
        <f t="shared" si="4"/>
        <v>0</v>
      </c>
      <c r="K27" s="41">
        <f>COUNTIF(Vertices[Betweenness Centrality], "&gt;= " &amp; J27) - COUNTIF(Vertices[Betweenness Centrality], "&gt;=" &amp; J28)</f>
        <v>0</v>
      </c>
      <c r="L27" s="40">
        <f t="shared" si="5"/>
        <v>0</v>
      </c>
      <c r="M27" s="41">
        <f>COUNTIF(Vertices[Closeness Centrality], "&gt;= " &amp; L27) - COUNTIF(Vertices[Closeness Centrality], "&gt;=" &amp; L28)</f>
        <v>0</v>
      </c>
      <c r="N27" s="40">
        <f t="shared" si="6"/>
        <v>0</v>
      </c>
      <c r="O27" s="41">
        <f>COUNTIF(Vertices[Eigenvector Centrality], "&gt;= " &amp; N27) - COUNTIF(Vertices[Eigenvector Centrality], "&gt;=" &amp; N28)</f>
        <v>0</v>
      </c>
      <c r="P27" s="40">
        <f t="shared" si="7"/>
        <v>0</v>
      </c>
      <c r="Q27" s="41">
        <f>COUNTIF(Vertices[PageRank], "&gt;= " &amp; P27) - COUNTIF(Vertices[PageRank], "&gt;=" &amp; P28)</f>
        <v>0</v>
      </c>
      <c r="R27" s="40">
        <f t="shared" si="8"/>
        <v>0</v>
      </c>
      <c r="S27" s="45">
        <f>COUNTIF(Vertices[Clustering Coefficient], "&gt;= " &amp; R27) - COUNTIF(Vertices[Clustering Coefficient], "&gt;=" &amp; R28)</f>
        <v>0</v>
      </c>
      <c r="T27" s="40" t="e">
        <f t="shared" ca="1" si="9"/>
        <v>#REF!</v>
      </c>
      <c r="U27" s="41" t="e">
        <f t="shared" ca="1" si="0"/>
        <v>#REF!</v>
      </c>
    </row>
    <row r="28" spans="1:21" x14ac:dyDescent="0.25">
      <c r="D28" s="33">
        <f t="shared" si="1"/>
        <v>0</v>
      </c>
      <c r="E28" s="3">
        <f>COUNTIF(Vertices[Degree], "&gt;= " &amp; D28) - COUNTIF(Vertices[Degree], "&gt;=" &amp; D29)</f>
        <v>0</v>
      </c>
      <c r="F28" s="38">
        <f t="shared" si="2"/>
        <v>0</v>
      </c>
      <c r="G28" s="39">
        <f>COUNTIF(Vertices[In-Degree], "&gt;= " &amp; F28) - COUNTIF(Vertices[In-Degree], "&gt;=" &amp; F29)</f>
        <v>0</v>
      </c>
      <c r="H28" s="38">
        <f t="shared" si="3"/>
        <v>0</v>
      </c>
      <c r="I28" s="39">
        <f>COUNTIF(Vertices[Out-Degree], "&gt;= " &amp; H28) - COUNTIF(Vertices[Out-Degree], "&gt;=" &amp; H29)</f>
        <v>0</v>
      </c>
      <c r="J28" s="38">
        <f t="shared" si="4"/>
        <v>0</v>
      </c>
      <c r="K28" s="39">
        <f>COUNTIF(Vertices[Betweenness Centrality], "&gt;= " &amp; J28) - COUNTIF(Vertices[Betweenness Centrality], "&gt;=" &amp; J29)</f>
        <v>0</v>
      </c>
      <c r="L28" s="38">
        <f t="shared" si="5"/>
        <v>0</v>
      </c>
      <c r="M28" s="39">
        <f>COUNTIF(Vertices[Closeness Centrality], "&gt;= " &amp; L28) - COUNTIF(Vertices[Closeness Centrality], "&gt;=" &amp; L29)</f>
        <v>0</v>
      </c>
      <c r="N28" s="38">
        <f t="shared" si="6"/>
        <v>0</v>
      </c>
      <c r="O28" s="39">
        <f>COUNTIF(Vertices[Eigenvector Centrality], "&gt;= " &amp; N28) - COUNTIF(Vertices[Eigenvector Centrality], "&gt;=" &amp; N29)</f>
        <v>0</v>
      </c>
      <c r="P28" s="38">
        <f t="shared" si="7"/>
        <v>0</v>
      </c>
      <c r="Q28" s="39">
        <f>COUNTIF(Vertices[PageRank], "&gt;= " &amp; P28) - COUNTIF(Vertices[PageRank], "&gt;=" &amp; P29)</f>
        <v>0</v>
      </c>
      <c r="R28" s="38">
        <f t="shared" si="8"/>
        <v>0</v>
      </c>
      <c r="S28" s="44">
        <f>COUNTIF(Vertices[Clustering Coefficient], "&gt;= " &amp; R28) - COUNTIF(Vertices[Clustering Coefficient], "&gt;=" &amp; R29)</f>
        <v>0</v>
      </c>
      <c r="T28" s="38" t="e">
        <f t="shared" ca="1" si="9"/>
        <v>#REF!</v>
      </c>
      <c r="U28" s="39" t="e">
        <f t="shared" ca="1" si="0"/>
        <v>#REF!</v>
      </c>
    </row>
    <row r="29" spans="1:21" x14ac:dyDescent="0.25">
      <c r="A29" t="s">
        <v>162</v>
      </c>
      <c r="B29" t="s">
        <v>17</v>
      </c>
      <c r="D29" s="33">
        <f t="shared" si="1"/>
        <v>0</v>
      </c>
      <c r="E29" s="3">
        <f>COUNTIF(Vertices[Degree], "&gt;= " &amp; D29) - COUNTIF(Vertices[Degree], "&gt;=" &amp; D30)</f>
        <v>0</v>
      </c>
      <c r="F29" s="40">
        <f t="shared" si="2"/>
        <v>0</v>
      </c>
      <c r="G29" s="41">
        <f>COUNTIF(Vertices[In-Degree], "&gt;= " &amp; F29) - COUNTIF(Vertices[In-Degree], "&gt;=" &amp; F30)</f>
        <v>0</v>
      </c>
      <c r="H29" s="40">
        <f t="shared" si="3"/>
        <v>0</v>
      </c>
      <c r="I29" s="41">
        <f>COUNTIF(Vertices[Out-Degree], "&gt;= " &amp; H29) - COUNTIF(Vertices[Out-Degree], "&gt;=" &amp; H30)</f>
        <v>0</v>
      </c>
      <c r="J29" s="40">
        <f t="shared" si="4"/>
        <v>0</v>
      </c>
      <c r="K29" s="41">
        <f>COUNTIF(Vertices[Betweenness Centrality], "&gt;= " &amp; J29) - COUNTIF(Vertices[Betweenness Centrality], "&gt;=" &amp; J30)</f>
        <v>0</v>
      </c>
      <c r="L29" s="40">
        <f t="shared" si="5"/>
        <v>0</v>
      </c>
      <c r="M29" s="41">
        <f>COUNTIF(Vertices[Closeness Centrality], "&gt;= " &amp; L29) - COUNTIF(Vertices[Closeness Centrality], "&gt;=" &amp; L30)</f>
        <v>0</v>
      </c>
      <c r="N29" s="40">
        <f t="shared" si="6"/>
        <v>0</v>
      </c>
      <c r="O29" s="41">
        <f>COUNTIF(Vertices[Eigenvector Centrality], "&gt;= " &amp; N29) - COUNTIF(Vertices[Eigenvector Centrality], "&gt;=" &amp; N30)</f>
        <v>0</v>
      </c>
      <c r="P29" s="40">
        <f t="shared" si="7"/>
        <v>0</v>
      </c>
      <c r="Q29" s="41">
        <f>COUNTIF(Vertices[PageRank], "&gt;= " &amp; P29) - COUNTIF(Vertices[PageRank], "&gt;=" &amp; P30)</f>
        <v>0</v>
      </c>
      <c r="R29" s="40">
        <f t="shared" si="8"/>
        <v>0</v>
      </c>
      <c r="S29" s="45">
        <f>COUNTIF(Vertices[Clustering Coefficient], "&gt;= " &amp; R29) - COUNTIF(Vertices[Clustering Coefficient], "&gt;=" &amp; R30)</f>
        <v>0</v>
      </c>
      <c r="T29" s="40" t="e">
        <f t="shared" ca="1" si="9"/>
        <v>#REF!</v>
      </c>
      <c r="U29" s="41" t="e">
        <f t="shared" ca="1" si="0"/>
        <v>#REF!</v>
      </c>
    </row>
    <row r="30" spans="1:21" x14ac:dyDescent="0.25">
      <c r="A30" s="34"/>
      <c r="B30" s="34"/>
      <c r="D30" s="33">
        <f t="shared" si="1"/>
        <v>0</v>
      </c>
      <c r="E30" s="3">
        <f>COUNTIF(Vertices[Degree], "&gt;= " &amp; D30) - COUNTIF(Vertices[Degree], "&gt;=" &amp; D31)</f>
        <v>0</v>
      </c>
      <c r="F30" s="38">
        <f t="shared" si="2"/>
        <v>0</v>
      </c>
      <c r="G30" s="39">
        <f>COUNTIF(Vertices[In-Degree], "&gt;= " &amp; F30) - COUNTIF(Vertices[In-Degree], "&gt;=" &amp; F31)</f>
        <v>0</v>
      </c>
      <c r="H30" s="38">
        <f t="shared" si="3"/>
        <v>0</v>
      </c>
      <c r="I30" s="39">
        <f>COUNTIF(Vertices[Out-Degree], "&gt;= " &amp; H30) - COUNTIF(Vertices[Out-Degree], "&gt;=" &amp; H31)</f>
        <v>0</v>
      </c>
      <c r="J30" s="38">
        <f t="shared" si="4"/>
        <v>0</v>
      </c>
      <c r="K30" s="39">
        <f>COUNTIF(Vertices[Betweenness Centrality], "&gt;= " &amp; J30) - COUNTIF(Vertices[Betweenness Centrality], "&gt;=" &amp; J31)</f>
        <v>0</v>
      </c>
      <c r="L30" s="38">
        <f t="shared" si="5"/>
        <v>0</v>
      </c>
      <c r="M30" s="39">
        <f>COUNTIF(Vertices[Closeness Centrality], "&gt;= " &amp; L30) - COUNTIF(Vertices[Closeness Centrality], "&gt;=" &amp; L31)</f>
        <v>0</v>
      </c>
      <c r="N30" s="38">
        <f t="shared" si="6"/>
        <v>0</v>
      </c>
      <c r="O30" s="39">
        <f>COUNTIF(Vertices[Eigenvector Centrality], "&gt;= " &amp; N30) - COUNTIF(Vertices[Eigenvector Centrality], "&gt;=" &amp; N31)</f>
        <v>0</v>
      </c>
      <c r="P30" s="38">
        <f t="shared" si="7"/>
        <v>0</v>
      </c>
      <c r="Q30" s="39">
        <f>COUNTIF(Vertices[PageRank], "&gt;= " &amp; P30) - COUNTIF(Vertices[PageRank], "&gt;=" &amp; P31)</f>
        <v>0</v>
      </c>
      <c r="R30" s="38">
        <f t="shared" si="8"/>
        <v>0</v>
      </c>
      <c r="S30" s="44">
        <f>COUNTIF(Vertices[Clustering Coefficient], "&gt;= " &amp; R30) - COUNTIF(Vertices[Clustering Coefficient], "&gt;=" &amp; R31)</f>
        <v>0</v>
      </c>
      <c r="T30" s="38" t="e">
        <f t="shared" ca="1" si="9"/>
        <v>#REF!</v>
      </c>
      <c r="U30" s="39" t="e">
        <f t="shared" ca="1" si="0"/>
        <v>#REF!</v>
      </c>
    </row>
    <row r="31" spans="1:21" x14ac:dyDescent="0.25">
      <c r="A31" s="34"/>
      <c r="B31" s="34"/>
      <c r="D31" s="33">
        <f t="shared" si="1"/>
        <v>0</v>
      </c>
      <c r="E31" s="3">
        <f>COUNTIF(Vertices[Degree], "&gt;= " &amp; D31) - COUNTIF(Vertices[Degree], "&gt;=" &amp; D32)</f>
        <v>0</v>
      </c>
      <c r="F31" s="40">
        <f t="shared" si="2"/>
        <v>0</v>
      </c>
      <c r="G31" s="41">
        <f>COUNTIF(Vertices[In-Degree], "&gt;= " &amp; F31) - COUNTIF(Vertices[In-Degree], "&gt;=" &amp; F32)</f>
        <v>0</v>
      </c>
      <c r="H31" s="40">
        <f t="shared" si="3"/>
        <v>0</v>
      </c>
      <c r="I31" s="41">
        <f>COUNTIF(Vertices[Out-Degree], "&gt;= " &amp; H31) - COUNTIF(Vertices[Out-Degree], "&gt;=" &amp; H32)</f>
        <v>0</v>
      </c>
      <c r="J31" s="40">
        <f t="shared" si="4"/>
        <v>0</v>
      </c>
      <c r="K31" s="41">
        <f>COUNTIF(Vertices[Betweenness Centrality], "&gt;= " &amp; J31) - COUNTIF(Vertices[Betweenness Centrality], "&gt;=" &amp; J32)</f>
        <v>0</v>
      </c>
      <c r="L31" s="40">
        <f t="shared" si="5"/>
        <v>0</v>
      </c>
      <c r="M31" s="41">
        <f>COUNTIF(Vertices[Closeness Centrality], "&gt;= " &amp; L31) - COUNTIF(Vertices[Closeness Centrality], "&gt;=" &amp; L32)</f>
        <v>0</v>
      </c>
      <c r="N31" s="40">
        <f t="shared" si="6"/>
        <v>0</v>
      </c>
      <c r="O31" s="41">
        <f>COUNTIF(Vertices[Eigenvector Centrality], "&gt;= " &amp; N31) - COUNTIF(Vertices[Eigenvector Centrality], "&gt;=" &amp; N32)</f>
        <v>0</v>
      </c>
      <c r="P31" s="40">
        <f t="shared" si="7"/>
        <v>0</v>
      </c>
      <c r="Q31" s="41">
        <f>COUNTIF(Vertices[PageRank], "&gt;= " &amp; P31) - COUNTIF(Vertices[PageRank], "&gt;=" &amp; P32)</f>
        <v>0</v>
      </c>
      <c r="R31" s="40">
        <f t="shared" si="8"/>
        <v>0</v>
      </c>
      <c r="S31" s="45">
        <f>COUNTIF(Vertices[Clustering Coefficient], "&gt;= " &amp; R31) - COUNTIF(Vertices[Clustering Coefficient], "&gt;=" &amp; R32)</f>
        <v>0</v>
      </c>
      <c r="T31" s="40" t="e">
        <f t="shared" ca="1" si="9"/>
        <v>#REF!</v>
      </c>
      <c r="U31" s="41" t="e">
        <f t="shared" ca="1" si="0"/>
        <v>#REF!</v>
      </c>
    </row>
    <row r="32" spans="1:21" x14ac:dyDescent="0.25">
      <c r="A32" s="34"/>
      <c r="B32" s="34"/>
      <c r="D32" s="33">
        <f t="shared" si="1"/>
        <v>0</v>
      </c>
      <c r="E32" s="3">
        <f>COUNTIF(Vertices[Degree], "&gt;= " &amp; D32) - COUNTIF(Vertices[Degree], "&gt;=" &amp; D33)</f>
        <v>0</v>
      </c>
      <c r="F32" s="38">
        <f t="shared" si="2"/>
        <v>0</v>
      </c>
      <c r="G32" s="39">
        <f>COUNTIF(Vertices[In-Degree], "&gt;= " &amp; F32) - COUNTIF(Vertices[In-Degree], "&gt;=" &amp; F33)</f>
        <v>0</v>
      </c>
      <c r="H32" s="38">
        <f t="shared" si="3"/>
        <v>0</v>
      </c>
      <c r="I32" s="39">
        <f>COUNTIF(Vertices[Out-Degree], "&gt;= " &amp; H32) - COUNTIF(Vertices[Out-Degree], "&gt;=" &amp; H33)</f>
        <v>0</v>
      </c>
      <c r="J32" s="38">
        <f t="shared" si="4"/>
        <v>0</v>
      </c>
      <c r="K32" s="39">
        <f>COUNTIF(Vertices[Betweenness Centrality], "&gt;= " &amp; J32) - COUNTIF(Vertices[Betweenness Centrality], "&gt;=" &amp; J33)</f>
        <v>0</v>
      </c>
      <c r="L32" s="38">
        <f t="shared" si="5"/>
        <v>0</v>
      </c>
      <c r="M32" s="39">
        <f>COUNTIF(Vertices[Closeness Centrality], "&gt;= " &amp; L32) - COUNTIF(Vertices[Closeness Centrality], "&gt;=" &amp; L33)</f>
        <v>0</v>
      </c>
      <c r="N32" s="38">
        <f t="shared" si="6"/>
        <v>0</v>
      </c>
      <c r="O32" s="39">
        <f>COUNTIF(Vertices[Eigenvector Centrality], "&gt;= " &amp; N32) - COUNTIF(Vertices[Eigenvector Centrality], "&gt;=" &amp; N33)</f>
        <v>0</v>
      </c>
      <c r="P32" s="38">
        <f t="shared" si="7"/>
        <v>0</v>
      </c>
      <c r="Q32" s="39">
        <f>COUNTIF(Vertices[PageRank], "&gt;= " &amp; P32) - COUNTIF(Vertices[PageRank], "&gt;=" &amp; P33)</f>
        <v>0</v>
      </c>
      <c r="R32" s="38">
        <f t="shared" si="8"/>
        <v>0</v>
      </c>
      <c r="S32" s="44">
        <f>COUNTIF(Vertices[Clustering Coefficient], "&gt;= " &amp; R32) - COUNTIF(Vertices[Clustering Coefficient], "&gt;=" &amp; R33)</f>
        <v>0</v>
      </c>
      <c r="T32" s="38" t="e">
        <f t="shared" ca="1" si="9"/>
        <v>#REF!</v>
      </c>
      <c r="U32" s="39" t="e">
        <f t="shared" ca="1" si="0"/>
        <v>#REF!</v>
      </c>
    </row>
    <row r="33" spans="1:21" x14ac:dyDescent="0.25">
      <c r="D33" s="33">
        <f t="shared" si="1"/>
        <v>0</v>
      </c>
      <c r="E33" s="3">
        <f>COUNTIF(Vertices[Degree], "&gt;= " &amp; D33) - COUNTIF(Vertices[Degree], "&gt;=" &amp; D34)</f>
        <v>0</v>
      </c>
      <c r="F33" s="40">
        <f t="shared" si="2"/>
        <v>0</v>
      </c>
      <c r="G33" s="41">
        <f>COUNTIF(Vertices[In-Degree], "&gt;= " &amp; F33) - COUNTIF(Vertices[In-Degree], "&gt;=" &amp; F34)</f>
        <v>0</v>
      </c>
      <c r="H33" s="40">
        <f t="shared" si="3"/>
        <v>0</v>
      </c>
      <c r="I33" s="41">
        <f>COUNTIF(Vertices[Out-Degree], "&gt;= " &amp; H33) - COUNTIF(Vertices[Out-Degree], "&gt;=" &amp; H34)</f>
        <v>0</v>
      </c>
      <c r="J33" s="40">
        <f t="shared" si="4"/>
        <v>0</v>
      </c>
      <c r="K33" s="41">
        <f>COUNTIF(Vertices[Betweenness Centrality], "&gt;= " &amp; J33) - COUNTIF(Vertices[Betweenness Centrality], "&gt;=" &amp; J34)</f>
        <v>0</v>
      </c>
      <c r="L33" s="40">
        <f t="shared" si="5"/>
        <v>0</v>
      </c>
      <c r="M33" s="41">
        <f>COUNTIF(Vertices[Closeness Centrality], "&gt;= " &amp; L33) - COUNTIF(Vertices[Closeness Centrality], "&gt;=" &amp; L34)</f>
        <v>0</v>
      </c>
      <c r="N33" s="40">
        <f t="shared" si="6"/>
        <v>0</v>
      </c>
      <c r="O33" s="41">
        <f>COUNTIF(Vertices[Eigenvector Centrality], "&gt;= " &amp; N33) - COUNTIF(Vertices[Eigenvector Centrality], "&gt;=" &amp; N34)</f>
        <v>0</v>
      </c>
      <c r="P33" s="40">
        <f t="shared" si="7"/>
        <v>0</v>
      </c>
      <c r="Q33" s="41">
        <f>COUNTIF(Vertices[PageRank], "&gt;= " &amp; P33) - COUNTIF(Vertices[PageRank], "&gt;=" &amp; P34)</f>
        <v>0</v>
      </c>
      <c r="R33" s="40">
        <f t="shared" si="8"/>
        <v>0</v>
      </c>
      <c r="S33" s="45">
        <f>COUNTIF(Vertices[Clustering Coefficient], "&gt;= " &amp; R33) - COUNTIF(Vertices[Clustering Coefficient], "&gt;=" &amp; R34)</f>
        <v>0</v>
      </c>
      <c r="T33" s="40" t="e">
        <f t="shared" ca="1" si="9"/>
        <v>#REF!</v>
      </c>
      <c r="U33" s="41" t="e">
        <f t="shared" ca="1" si="0"/>
        <v>#REF!</v>
      </c>
    </row>
    <row r="34" spans="1:21" x14ac:dyDescent="0.25">
      <c r="D34" s="33">
        <f t="shared" si="1"/>
        <v>0</v>
      </c>
      <c r="E34" s="3">
        <f>COUNTIF(Vertices[Degree], "&gt;= " &amp; D34) - COUNTIF(Vertices[Degree], "&gt;=" &amp; D35)</f>
        <v>0</v>
      </c>
      <c r="F34" s="38">
        <f t="shared" si="2"/>
        <v>0</v>
      </c>
      <c r="G34" s="39">
        <f>COUNTIF(Vertices[In-Degree], "&gt;= " &amp; F34) - COUNTIF(Vertices[In-Degree], "&gt;=" &amp; F35)</f>
        <v>0</v>
      </c>
      <c r="H34" s="38">
        <f t="shared" si="3"/>
        <v>0</v>
      </c>
      <c r="I34" s="39">
        <f>COUNTIF(Vertices[Out-Degree], "&gt;= " &amp; H34) - COUNTIF(Vertices[Out-Degree], "&gt;=" &amp; H35)</f>
        <v>0</v>
      </c>
      <c r="J34" s="38">
        <f t="shared" si="4"/>
        <v>0</v>
      </c>
      <c r="K34" s="39">
        <f>COUNTIF(Vertices[Betweenness Centrality], "&gt;= " &amp; J34) - COUNTIF(Vertices[Betweenness Centrality], "&gt;=" &amp; J35)</f>
        <v>0</v>
      </c>
      <c r="L34" s="38">
        <f t="shared" si="5"/>
        <v>0</v>
      </c>
      <c r="M34" s="39">
        <f>COUNTIF(Vertices[Closeness Centrality], "&gt;= " &amp; L34) - COUNTIF(Vertices[Closeness Centrality], "&gt;=" &amp; L35)</f>
        <v>0</v>
      </c>
      <c r="N34" s="38">
        <f t="shared" si="6"/>
        <v>0</v>
      </c>
      <c r="O34" s="39">
        <f>COUNTIF(Vertices[Eigenvector Centrality], "&gt;= " &amp; N34) - COUNTIF(Vertices[Eigenvector Centrality], "&gt;=" &amp; N35)</f>
        <v>0</v>
      </c>
      <c r="P34" s="38">
        <f t="shared" si="7"/>
        <v>0</v>
      </c>
      <c r="Q34" s="39">
        <f>COUNTIF(Vertices[PageRank], "&gt;= " &amp; P34) - COUNTIF(Vertices[PageRank], "&gt;=" &amp; P35)</f>
        <v>0</v>
      </c>
      <c r="R34" s="38">
        <f t="shared" si="8"/>
        <v>0</v>
      </c>
      <c r="S34" s="44">
        <f>COUNTIF(Vertices[Clustering Coefficient], "&gt;= " &amp; R34) - COUNTIF(Vertices[Clustering Coefficient], "&gt;=" &amp; R35)</f>
        <v>0</v>
      </c>
      <c r="T34" s="38" t="e">
        <f t="shared" ca="1" si="9"/>
        <v>#REF!</v>
      </c>
      <c r="U34" s="39" t="e">
        <f t="shared" ca="1" si="0"/>
        <v>#REF!</v>
      </c>
    </row>
    <row r="35" spans="1:21" x14ac:dyDescent="0.25">
      <c r="D35" s="33">
        <f t="shared" si="1"/>
        <v>0</v>
      </c>
      <c r="E35" s="3">
        <f>COUNTIF(Vertices[Degree], "&gt;= " &amp; D35) - COUNTIF(Vertices[Degree], "&gt;=" &amp; D36)</f>
        <v>0</v>
      </c>
      <c r="F35" s="40">
        <f t="shared" si="2"/>
        <v>0</v>
      </c>
      <c r="G35" s="41">
        <f>COUNTIF(Vertices[In-Degree], "&gt;= " &amp; F35) - COUNTIF(Vertices[In-Degree], "&gt;=" &amp; F36)</f>
        <v>0</v>
      </c>
      <c r="H35" s="40">
        <f t="shared" si="3"/>
        <v>0</v>
      </c>
      <c r="I35" s="41">
        <f>COUNTIF(Vertices[Out-Degree], "&gt;= " &amp; H35) - COUNTIF(Vertices[Out-Degree], "&gt;=" &amp; H36)</f>
        <v>0</v>
      </c>
      <c r="J35" s="40">
        <f t="shared" si="4"/>
        <v>0</v>
      </c>
      <c r="K35" s="41">
        <f>COUNTIF(Vertices[Betweenness Centrality], "&gt;= " &amp; J35) - COUNTIF(Vertices[Betweenness Centrality], "&gt;=" &amp; J36)</f>
        <v>0</v>
      </c>
      <c r="L35" s="40">
        <f t="shared" si="5"/>
        <v>0</v>
      </c>
      <c r="M35" s="41">
        <f>COUNTIF(Vertices[Closeness Centrality], "&gt;= " &amp; L35) - COUNTIF(Vertices[Closeness Centrality], "&gt;=" &amp; L36)</f>
        <v>0</v>
      </c>
      <c r="N35" s="40">
        <f t="shared" si="6"/>
        <v>0</v>
      </c>
      <c r="O35" s="41">
        <f>COUNTIF(Vertices[Eigenvector Centrality], "&gt;= " &amp; N35) - COUNTIF(Vertices[Eigenvector Centrality], "&gt;=" &amp; N36)</f>
        <v>0</v>
      </c>
      <c r="P35" s="40">
        <f t="shared" si="7"/>
        <v>0</v>
      </c>
      <c r="Q35" s="41">
        <f>COUNTIF(Vertices[PageRank], "&gt;= " &amp; P35) - COUNTIF(Vertices[PageRank], "&gt;=" &amp; P36)</f>
        <v>0</v>
      </c>
      <c r="R35" s="40">
        <f t="shared" si="8"/>
        <v>0</v>
      </c>
      <c r="S35" s="45">
        <f>COUNTIF(Vertices[Clustering Coefficient], "&gt;= " &amp; R35) - COUNTIF(Vertices[Clustering Coefficient], "&gt;=" &amp; R36)</f>
        <v>0</v>
      </c>
      <c r="T35" s="40" t="e">
        <f t="shared" ca="1" si="9"/>
        <v>#REF!</v>
      </c>
      <c r="U35" s="41" t="e">
        <f t="shared" ca="1" si="0"/>
        <v>#REF!</v>
      </c>
    </row>
    <row r="36" spans="1:21" x14ac:dyDescent="0.25">
      <c r="D36" s="33">
        <f t="shared" si="1"/>
        <v>0</v>
      </c>
      <c r="E36" s="3">
        <f>COUNTIF(Vertices[Degree], "&gt;= " &amp; D36) - COUNTIF(Vertices[Degree], "&gt;=" &amp; D37)</f>
        <v>0</v>
      </c>
      <c r="F36" s="38">
        <f t="shared" si="2"/>
        <v>0</v>
      </c>
      <c r="G36" s="39">
        <f>COUNTIF(Vertices[In-Degree], "&gt;= " &amp; F36) - COUNTIF(Vertices[In-Degree], "&gt;=" &amp; F37)</f>
        <v>0</v>
      </c>
      <c r="H36" s="38">
        <f t="shared" si="3"/>
        <v>0</v>
      </c>
      <c r="I36" s="39">
        <f>COUNTIF(Vertices[Out-Degree], "&gt;= " &amp; H36) - COUNTIF(Vertices[Out-Degree], "&gt;=" &amp; H37)</f>
        <v>0</v>
      </c>
      <c r="J36" s="38">
        <f t="shared" si="4"/>
        <v>0</v>
      </c>
      <c r="K36" s="39">
        <f>COUNTIF(Vertices[Betweenness Centrality], "&gt;= " &amp; J36) - COUNTIF(Vertices[Betweenness Centrality], "&gt;=" &amp; J37)</f>
        <v>0</v>
      </c>
      <c r="L36" s="38">
        <f t="shared" si="5"/>
        <v>0</v>
      </c>
      <c r="M36" s="39">
        <f>COUNTIF(Vertices[Closeness Centrality], "&gt;= " &amp; L36) - COUNTIF(Vertices[Closeness Centrality], "&gt;=" &amp; L37)</f>
        <v>0</v>
      </c>
      <c r="N36" s="38">
        <f t="shared" si="6"/>
        <v>0</v>
      </c>
      <c r="O36" s="39">
        <f>COUNTIF(Vertices[Eigenvector Centrality], "&gt;= " &amp; N36) - COUNTIF(Vertices[Eigenvector Centrality], "&gt;=" &amp; N37)</f>
        <v>0</v>
      </c>
      <c r="P36" s="38">
        <f t="shared" si="7"/>
        <v>0</v>
      </c>
      <c r="Q36" s="39">
        <f>COUNTIF(Vertices[PageRank], "&gt;= " &amp; P36) - COUNTIF(Vertices[PageRank], "&gt;=" &amp; P37)</f>
        <v>0</v>
      </c>
      <c r="R36" s="38">
        <f t="shared" si="8"/>
        <v>0</v>
      </c>
      <c r="S36" s="44">
        <f>COUNTIF(Vertices[Clustering Coefficient], "&gt;= " &amp; R36) - COUNTIF(Vertices[Clustering Coefficient], "&gt;=" &amp; R37)</f>
        <v>0</v>
      </c>
      <c r="T36" s="38" t="e">
        <f t="shared" ca="1" si="9"/>
        <v>#REF!</v>
      </c>
      <c r="U36" s="39" t="e">
        <f t="shared" ca="1" si="0"/>
        <v>#REF!</v>
      </c>
    </row>
    <row r="37" spans="1:21" x14ac:dyDescent="0.25">
      <c r="D37" s="33">
        <f t="shared" si="1"/>
        <v>0</v>
      </c>
      <c r="E37" s="3">
        <f>COUNTIF(Vertices[Degree], "&gt;= " &amp; D37) - COUNTIF(Vertices[Degree], "&gt;=" &amp; D38)</f>
        <v>0</v>
      </c>
      <c r="F37" s="40">
        <f t="shared" si="2"/>
        <v>0</v>
      </c>
      <c r="G37" s="41">
        <f>COUNTIF(Vertices[In-Degree], "&gt;= " &amp; F37) - COUNTIF(Vertices[In-Degree], "&gt;=" &amp; F38)</f>
        <v>0</v>
      </c>
      <c r="H37" s="40">
        <f t="shared" si="3"/>
        <v>0</v>
      </c>
      <c r="I37" s="41">
        <f>COUNTIF(Vertices[Out-Degree], "&gt;= " &amp; H37) - COUNTIF(Vertices[Out-Degree], "&gt;=" &amp; H38)</f>
        <v>0</v>
      </c>
      <c r="J37" s="40">
        <f t="shared" si="4"/>
        <v>0</v>
      </c>
      <c r="K37" s="41">
        <f>COUNTIF(Vertices[Betweenness Centrality], "&gt;= " &amp; J37) - COUNTIF(Vertices[Betweenness Centrality], "&gt;=" &amp; J38)</f>
        <v>0</v>
      </c>
      <c r="L37" s="40">
        <f t="shared" si="5"/>
        <v>0</v>
      </c>
      <c r="M37" s="41">
        <f>COUNTIF(Vertices[Closeness Centrality], "&gt;= " &amp; L37) - COUNTIF(Vertices[Closeness Centrality], "&gt;=" &amp; L38)</f>
        <v>0</v>
      </c>
      <c r="N37" s="40">
        <f t="shared" si="6"/>
        <v>0</v>
      </c>
      <c r="O37" s="41">
        <f>COUNTIF(Vertices[Eigenvector Centrality], "&gt;= " &amp; N37) - COUNTIF(Vertices[Eigenvector Centrality], "&gt;=" &amp; N38)</f>
        <v>0</v>
      </c>
      <c r="P37" s="40">
        <f t="shared" si="7"/>
        <v>0</v>
      </c>
      <c r="Q37" s="41">
        <f>COUNTIF(Vertices[PageRank], "&gt;= " &amp; P37) - COUNTIF(Vertices[PageRank], "&gt;=" &amp; P38)</f>
        <v>0</v>
      </c>
      <c r="R37" s="40">
        <f t="shared" si="8"/>
        <v>0</v>
      </c>
      <c r="S37" s="45">
        <f>COUNTIF(Vertices[Clustering Coefficient], "&gt;= " &amp; R37) - COUNTIF(Vertices[Clustering Coefficient], "&gt;=" &amp; R38)</f>
        <v>0</v>
      </c>
      <c r="T37" s="40" t="e">
        <f t="shared" ca="1" si="9"/>
        <v>#REF!</v>
      </c>
      <c r="U37" s="41" t="e">
        <f t="shared" ca="1" si="0"/>
        <v>#REF!</v>
      </c>
    </row>
    <row r="38" spans="1:21" x14ac:dyDescent="0.25">
      <c r="D38" s="33">
        <f t="shared" si="1"/>
        <v>0</v>
      </c>
      <c r="E38" s="3">
        <f>COUNTIF(Vertices[Degree], "&gt;= " &amp; D38) - COUNTIF(Vertices[Degree], "&gt;=" &amp; D39)</f>
        <v>0</v>
      </c>
      <c r="F38" s="38">
        <f t="shared" si="2"/>
        <v>0</v>
      </c>
      <c r="G38" s="39">
        <f>COUNTIF(Vertices[In-Degree], "&gt;= " &amp; F38) - COUNTIF(Vertices[In-Degree], "&gt;=" &amp; F39)</f>
        <v>0</v>
      </c>
      <c r="H38" s="38">
        <f t="shared" si="3"/>
        <v>0</v>
      </c>
      <c r="I38" s="39">
        <f>COUNTIF(Vertices[Out-Degree], "&gt;= " &amp; H38) - COUNTIF(Vertices[Out-Degree], "&gt;=" &amp; H39)</f>
        <v>0</v>
      </c>
      <c r="J38" s="38">
        <f t="shared" si="4"/>
        <v>0</v>
      </c>
      <c r="K38" s="39">
        <f>COUNTIF(Vertices[Betweenness Centrality], "&gt;= " &amp; J38) - COUNTIF(Vertices[Betweenness Centrality], "&gt;=" &amp; J39)</f>
        <v>0</v>
      </c>
      <c r="L38" s="38">
        <f t="shared" si="5"/>
        <v>0</v>
      </c>
      <c r="M38" s="39">
        <f>COUNTIF(Vertices[Closeness Centrality], "&gt;= " &amp; L38) - COUNTIF(Vertices[Closeness Centrality], "&gt;=" &amp; L39)</f>
        <v>0</v>
      </c>
      <c r="N38" s="38">
        <f t="shared" si="6"/>
        <v>0</v>
      </c>
      <c r="O38" s="39">
        <f>COUNTIF(Vertices[Eigenvector Centrality], "&gt;= " &amp; N38) - COUNTIF(Vertices[Eigenvector Centrality], "&gt;=" &amp; N39)</f>
        <v>0</v>
      </c>
      <c r="P38" s="38">
        <f t="shared" si="7"/>
        <v>0</v>
      </c>
      <c r="Q38" s="39">
        <f>COUNTIF(Vertices[PageRank], "&gt;= " &amp; P38) - COUNTIF(Vertices[PageRank], "&gt;=" &amp; P39)</f>
        <v>0</v>
      </c>
      <c r="R38" s="38">
        <f t="shared" si="8"/>
        <v>0</v>
      </c>
      <c r="S38" s="44">
        <f>COUNTIF(Vertices[Clustering Coefficient], "&gt;= " &amp; R38) - COUNTIF(Vertices[Clustering Coefficient], "&gt;=" &amp; R39)</f>
        <v>0</v>
      </c>
      <c r="T38" s="38" t="e">
        <f t="shared" ca="1" si="9"/>
        <v>#REF!</v>
      </c>
      <c r="U38" s="39" t="e">
        <f t="shared" ca="1" si="0"/>
        <v>#REF!</v>
      </c>
    </row>
    <row r="39" spans="1:21" x14ac:dyDescent="0.25">
      <c r="D39" s="33">
        <f t="shared" si="1"/>
        <v>0</v>
      </c>
      <c r="E39" s="3">
        <f>COUNTIF(Vertices[Degree], "&gt;= " &amp; D39) - COUNTIF(Vertices[Degree], "&gt;=" &amp; D40)</f>
        <v>0</v>
      </c>
      <c r="F39" s="40">
        <f t="shared" si="2"/>
        <v>0</v>
      </c>
      <c r="G39" s="41">
        <f>COUNTIF(Vertices[In-Degree], "&gt;= " &amp; F39) - COUNTIF(Vertices[In-Degree], "&gt;=" &amp; F40)</f>
        <v>0</v>
      </c>
      <c r="H39" s="40">
        <f t="shared" si="3"/>
        <v>0</v>
      </c>
      <c r="I39" s="41">
        <f>COUNTIF(Vertices[Out-Degree], "&gt;= " &amp; H39) - COUNTIF(Vertices[Out-Degree], "&gt;=" &amp; H40)</f>
        <v>0</v>
      </c>
      <c r="J39" s="40">
        <f t="shared" si="4"/>
        <v>0</v>
      </c>
      <c r="K39" s="41">
        <f>COUNTIF(Vertices[Betweenness Centrality], "&gt;= " &amp; J39) - COUNTIF(Vertices[Betweenness Centrality], "&gt;=" &amp; J40)</f>
        <v>0</v>
      </c>
      <c r="L39" s="40">
        <f t="shared" si="5"/>
        <v>0</v>
      </c>
      <c r="M39" s="41">
        <f>COUNTIF(Vertices[Closeness Centrality], "&gt;= " &amp; L39) - COUNTIF(Vertices[Closeness Centrality], "&gt;=" &amp; L40)</f>
        <v>0</v>
      </c>
      <c r="N39" s="40">
        <f t="shared" si="6"/>
        <v>0</v>
      </c>
      <c r="O39" s="41">
        <f>COUNTIF(Vertices[Eigenvector Centrality], "&gt;= " &amp; N39) - COUNTIF(Vertices[Eigenvector Centrality], "&gt;=" &amp; N40)</f>
        <v>0</v>
      </c>
      <c r="P39" s="40">
        <f t="shared" si="7"/>
        <v>0</v>
      </c>
      <c r="Q39" s="41">
        <f>COUNTIF(Vertices[PageRank], "&gt;= " &amp; P39) - COUNTIF(Vertices[PageRank], "&gt;=" &amp; P40)</f>
        <v>0</v>
      </c>
      <c r="R39" s="40">
        <f t="shared" si="8"/>
        <v>0</v>
      </c>
      <c r="S39" s="45">
        <f>COUNTIF(Vertices[Clustering Coefficient], "&gt;= " &amp; R39) - COUNTIF(Vertices[Clustering Coefficient], "&gt;=" &amp; R40)</f>
        <v>0</v>
      </c>
      <c r="T39" s="40" t="e">
        <f t="shared" ca="1" si="9"/>
        <v>#REF!</v>
      </c>
      <c r="U39" s="41" t="e">
        <f t="shared" ca="1" si="0"/>
        <v>#REF!</v>
      </c>
    </row>
    <row r="40" spans="1:21" x14ac:dyDescent="0.25">
      <c r="D40" s="33">
        <f t="shared" si="1"/>
        <v>0</v>
      </c>
      <c r="E40" s="3">
        <f>COUNTIF(Vertices[Degree], "&gt;= " &amp; D40) - COUNTIF(Vertices[Degree], "&gt;=" &amp; D41)</f>
        <v>0</v>
      </c>
      <c r="F40" s="38">
        <f t="shared" si="2"/>
        <v>0</v>
      </c>
      <c r="G40" s="39">
        <f>COUNTIF(Vertices[In-Degree], "&gt;= " &amp; F40) - COUNTIF(Vertices[In-Degree], "&gt;=" &amp; F41)</f>
        <v>0</v>
      </c>
      <c r="H40" s="38">
        <f t="shared" si="3"/>
        <v>0</v>
      </c>
      <c r="I40" s="39">
        <f>COUNTIF(Vertices[Out-Degree], "&gt;= " &amp; H40) - COUNTIF(Vertices[Out-Degree], "&gt;=" &amp; H41)</f>
        <v>0</v>
      </c>
      <c r="J40" s="38">
        <f t="shared" si="4"/>
        <v>0</v>
      </c>
      <c r="K40" s="39">
        <f>COUNTIF(Vertices[Betweenness Centrality], "&gt;= " &amp; J40) - COUNTIF(Vertices[Betweenness Centrality], "&gt;=" &amp; J41)</f>
        <v>0</v>
      </c>
      <c r="L40" s="38">
        <f t="shared" si="5"/>
        <v>0</v>
      </c>
      <c r="M40" s="39">
        <f>COUNTIF(Vertices[Closeness Centrality], "&gt;= " &amp; L40) - COUNTIF(Vertices[Closeness Centrality], "&gt;=" &amp; L41)</f>
        <v>0</v>
      </c>
      <c r="N40" s="38">
        <f t="shared" si="6"/>
        <v>0</v>
      </c>
      <c r="O40" s="39">
        <f>COUNTIF(Vertices[Eigenvector Centrality], "&gt;= " &amp; N40) - COUNTIF(Vertices[Eigenvector Centrality], "&gt;=" &amp; N41)</f>
        <v>0</v>
      </c>
      <c r="P40" s="38">
        <f t="shared" si="7"/>
        <v>0</v>
      </c>
      <c r="Q40" s="39">
        <f>COUNTIF(Vertices[PageRank], "&gt;= " &amp; P40) - COUNTIF(Vertices[PageRank], "&gt;=" &amp; P41)</f>
        <v>0</v>
      </c>
      <c r="R40" s="38">
        <f t="shared" si="8"/>
        <v>0</v>
      </c>
      <c r="S40" s="44">
        <f>COUNTIF(Vertices[Clustering Coefficient], "&gt;= " &amp; R40) - COUNTIF(Vertices[Clustering Coefficient], "&gt;=" &amp; R41)</f>
        <v>0</v>
      </c>
      <c r="T40" s="38" t="e">
        <f t="shared" ca="1" si="9"/>
        <v>#REF!</v>
      </c>
      <c r="U40" s="39" t="e">
        <f t="shared" ca="1" si="0"/>
        <v>#REF!</v>
      </c>
    </row>
    <row r="41" spans="1:21" x14ac:dyDescent="0.25">
      <c r="D41" s="33">
        <f t="shared" si="1"/>
        <v>0</v>
      </c>
      <c r="E41" s="3">
        <f>COUNTIF(Vertices[Degree], "&gt;= " &amp; D41) - COUNTIF(Vertices[Degree], "&gt;=" &amp; D42)</f>
        <v>0</v>
      </c>
      <c r="F41" s="40">
        <f t="shared" si="2"/>
        <v>0</v>
      </c>
      <c r="G41" s="41">
        <f>COUNTIF(Vertices[In-Degree], "&gt;= " &amp; F41) - COUNTIF(Vertices[In-Degree], "&gt;=" &amp; F42)</f>
        <v>0</v>
      </c>
      <c r="H41" s="40">
        <f t="shared" si="3"/>
        <v>0</v>
      </c>
      <c r="I41" s="41">
        <f>COUNTIF(Vertices[Out-Degree], "&gt;= " &amp; H41) - COUNTIF(Vertices[Out-Degree], "&gt;=" &amp; H42)</f>
        <v>0</v>
      </c>
      <c r="J41" s="40">
        <f t="shared" si="4"/>
        <v>0</v>
      </c>
      <c r="K41" s="41">
        <f>COUNTIF(Vertices[Betweenness Centrality], "&gt;= " &amp; J41) - COUNTIF(Vertices[Betweenness Centrality], "&gt;=" &amp; J42)</f>
        <v>0</v>
      </c>
      <c r="L41" s="40">
        <f t="shared" si="5"/>
        <v>0</v>
      </c>
      <c r="M41" s="41">
        <f>COUNTIF(Vertices[Closeness Centrality], "&gt;= " &amp; L41) - COUNTIF(Vertices[Closeness Centrality], "&gt;=" &amp; L42)</f>
        <v>0</v>
      </c>
      <c r="N41" s="40">
        <f t="shared" si="6"/>
        <v>0</v>
      </c>
      <c r="O41" s="41">
        <f>COUNTIF(Vertices[Eigenvector Centrality], "&gt;= " &amp; N41) - COUNTIF(Vertices[Eigenvector Centrality], "&gt;=" &amp; N42)</f>
        <v>0</v>
      </c>
      <c r="P41" s="40">
        <f t="shared" si="7"/>
        <v>0</v>
      </c>
      <c r="Q41" s="41">
        <f>COUNTIF(Vertices[PageRank], "&gt;= " &amp; P41) - COUNTIF(Vertices[PageRank], "&gt;=" &amp; P42)</f>
        <v>0</v>
      </c>
      <c r="R41" s="40">
        <f t="shared" si="8"/>
        <v>0</v>
      </c>
      <c r="S41" s="45">
        <f>COUNTIF(Vertices[Clustering Coefficient], "&gt;= " &amp; R41) - COUNTIF(Vertices[Clustering Coefficient], "&gt;=" &amp; R42)</f>
        <v>0</v>
      </c>
      <c r="T41" s="40" t="e">
        <f t="shared" ca="1" si="9"/>
        <v>#REF!</v>
      </c>
      <c r="U41" s="41" t="e">
        <f t="shared" ca="1" si="0"/>
        <v>#REF!</v>
      </c>
    </row>
    <row r="42" spans="1:21" x14ac:dyDescent="0.25">
      <c r="D42" s="33">
        <f t="shared" si="1"/>
        <v>0</v>
      </c>
      <c r="E42" s="3">
        <f>COUNTIF(Vertices[Degree], "&gt;= " &amp; D42) - COUNTIF(Vertices[Degree], "&gt;=" &amp; D43)</f>
        <v>0</v>
      </c>
      <c r="F42" s="38">
        <f t="shared" si="2"/>
        <v>0</v>
      </c>
      <c r="G42" s="39">
        <f>COUNTIF(Vertices[In-Degree], "&gt;= " &amp; F42) - COUNTIF(Vertices[In-Degree], "&gt;=" &amp; F43)</f>
        <v>0</v>
      </c>
      <c r="H42" s="38">
        <f t="shared" si="3"/>
        <v>0</v>
      </c>
      <c r="I42" s="39">
        <f>COUNTIF(Vertices[Out-Degree], "&gt;= " &amp; H42) - COUNTIF(Vertices[Out-Degree], "&gt;=" &amp; H43)</f>
        <v>0</v>
      </c>
      <c r="J42" s="38">
        <f t="shared" si="4"/>
        <v>0</v>
      </c>
      <c r="K42" s="39">
        <f>COUNTIF(Vertices[Betweenness Centrality], "&gt;= " &amp; J42) - COUNTIF(Vertices[Betweenness Centrality], "&gt;=" &amp; J43)</f>
        <v>0</v>
      </c>
      <c r="L42" s="38">
        <f t="shared" si="5"/>
        <v>0</v>
      </c>
      <c r="M42" s="39">
        <f>COUNTIF(Vertices[Closeness Centrality], "&gt;= " &amp; L42) - COUNTIF(Vertices[Closeness Centrality], "&gt;=" &amp; L43)</f>
        <v>0</v>
      </c>
      <c r="N42" s="38">
        <f t="shared" si="6"/>
        <v>0</v>
      </c>
      <c r="O42" s="39">
        <f>COUNTIF(Vertices[Eigenvector Centrality], "&gt;= " &amp; N42) - COUNTIF(Vertices[Eigenvector Centrality], "&gt;=" &amp; N43)</f>
        <v>0</v>
      </c>
      <c r="P42" s="38">
        <f t="shared" si="7"/>
        <v>0</v>
      </c>
      <c r="Q42" s="39">
        <f>COUNTIF(Vertices[PageRank], "&gt;= " &amp; P42) - COUNTIF(Vertices[PageRank], "&gt;=" &amp; P43)</f>
        <v>0</v>
      </c>
      <c r="R42" s="38">
        <f t="shared" si="8"/>
        <v>0</v>
      </c>
      <c r="S42" s="44">
        <f>COUNTIF(Vertices[Clustering Coefficient], "&gt;= " &amp; R42) - COUNTIF(Vertices[Clustering Coefficient], "&gt;=" &amp; R43)</f>
        <v>0</v>
      </c>
      <c r="T42" s="38" t="e">
        <f t="shared" ca="1" si="9"/>
        <v>#REF!</v>
      </c>
      <c r="U42" s="39" t="e">
        <f t="shared" ca="1" si="0"/>
        <v>#REF!</v>
      </c>
    </row>
    <row r="43" spans="1:21" x14ac:dyDescent="0.25">
      <c r="A43" s="34" t="s">
        <v>80</v>
      </c>
      <c r="B43" s="47" t="str">
        <f>IF(COUNT(Vertices[Degree])&gt;0, D2, NoMetricMessage)</f>
        <v>Not Available</v>
      </c>
      <c r="D43" s="33">
        <f t="shared" si="1"/>
        <v>0</v>
      </c>
      <c r="E43" s="3">
        <f>COUNTIF(Vertices[Degree], "&gt;= " &amp; D43) - COUNTIF(Vertices[Degree], "&gt;=" &amp; D44)</f>
        <v>0</v>
      </c>
      <c r="F43" s="40">
        <f t="shared" si="2"/>
        <v>0</v>
      </c>
      <c r="G43" s="41">
        <f>COUNTIF(Vertices[In-Degree], "&gt;= " &amp; F43) - COUNTIF(Vertices[In-Degree], "&gt;=" &amp; F44)</f>
        <v>0</v>
      </c>
      <c r="H43" s="40">
        <f t="shared" si="3"/>
        <v>0</v>
      </c>
      <c r="I43" s="41">
        <f>COUNTIF(Vertices[Out-Degree], "&gt;= " &amp; H43) - COUNTIF(Vertices[Out-Degree], "&gt;=" &amp; H44)</f>
        <v>0</v>
      </c>
      <c r="J43" s="40">
        <f t="shared" si="4"/>
        <v>0</v>
      </c>
      <c r="K43" s="41">
        <f>COUNTIF(Vertices[Betweenness Centrality], "&gt;= " &amp; J43) - COUNTIF(Vertices[Betweenness Centrality], "&gt;=" &amp; J44)</f>
        <v>0</v>
      </c>
      <c r="L43" s="40">
        <f t="shared" si="5"/>
        <v>0</v>
      </c>
      <c r="M43" s="41">
        <f>COUNTIF(Vertices[Closeness Centrality], "&gt;= " &amp; L43) - COUNTIF(Vertices[Closeness Centrality], "&gt;=" &amp; L44)</f>
        <v>0</v>
      </c>
      <c r="N43" s="40">
        <f t="shared" si="6"/>
        <v>0</v>
      </c>
      <c r="O43" s="41">
        <f>COUNTIF(Vertices[Eigenvector Centrality], "&gt;= " &amp; N43) - COUNTIF(Vertices[Eigenvector Centrality], "&gt;=" &amp; N44)</f>
        <v>0</v>
      </c>
      <c r="P43" s="40">
        <f t="shared" si="7"/>
        <v>0</v>
      </c>
      <c r="Q43" s="41">
        <f>COUNTIF(Vertices[PageRank], "&gt;= " &amp; P43) - COUNTIF(Vertices[PageRank], "&gt;=" &amp; P44)</f>
        <v>0</v>
      </c>
      <c r="R43" s="40">
        <f t="shared" si="8"/>
        <v>0</v>
      </c>
      <c r="S43" s="45">
        <f>COUNTIF(Vertices[Clustering Coefficient], "&gt;= " &amp; R43) - COUNTIF(Vertices[Clustering Coefficient], "&gt;=" &amp; R44)</f>
        <v>0</v>
      </c>
      <c r="T43" s="40" t="e">
        <f t="shared" ca="1" si="9"/>
        <v>#REF!</v>
      </c>
      <c r="U43" s="41" t="e">
        <f t="shared" ca="1" si="0"/>
        <v>#REF!</v>
      </c>
    </row>
    <row r="44" spans="1:21" x14ac:dyDescent="0.25">
      <c r="A44" s="34" t="s">
        <v>81</v>
      </c>
      <c r="B44" s="47" t="str">
        <f>IF(COUNT(Vertices[Degree])&gt;0, D45, NoMetricMessage)</f>
        <v>Not Available</v>
      </c>
      <c r="D44" s="33">
        <f t="shared" si="1"/>
        <v>0</v>
      </c>
      <c r="E44" s="3">
        <f>COUNTIF(Vertices[Degree], "&gt;= " &amp; D44) - COUNTIF(Vertices[Degree], "&gt;=" &amp; D45)</f>
        <v>0</v>
      </c>
      <c r="F44" s="38">
        <f t="shared" si="2"/>
        <v>0</v>
      </c>
      <c r="G44" s="39">
        <f>COUNTIF(Vertices[In-Degree], "&gt;= " &amp; F44) - COUNTIF(Vertices[In-Degree], "&gt;=" &amp; F45)</f>
        <v>0</v>
      </c>
      <c r="H44" s="38">
        <f t="shared" si="3"/>
        <v>0</v>
      </c>
      <c r="I44" s="39">
        <f>COUNTIF(Vertices[Out-Degree], "&gt;= " &amp; H44) - COUNTIF(Vertices[Out-Degree], "&gt;=" &amp; H45)</f>
        <v>0</v>
      </c>
      <c r="J44" s="38">
        <f t="shared" si="4"/>
        <v>0</v>
      </c>
      <c r="K44" s="39">
        <f>COUNTIF(Vertices[Betweenness Centrality], "&gt;= " &amp; J44) - COUNTIF(Vertices[Betweenness Centrality], "&gt;=" &amp; J45)</f>
        <v>0</v>
      </c>
      <c r="L44" s="38">
        <f t="shared" si="5"/>
        <v>0</v>
      </c>
      <c r="M44" s="39">
        <f>COUNTIF(Vertices[Closeness Centrality], "&gt;= " &amp; L44) - COUNTIF(Vertices[Closeness Centrality], "&gt;=" &amp; L45)</f>
        <v>0</v>
      </c>
      <c r="N44" s="38">
        <f t="shared" si="6"/>
        <v>0</v>
      </c>
      <c r="O44" s="39">
        <f>COUNTIF(Vertices[Eigenvector Centrality], "&gt;= " &amp; N44) - COUNTIF(Vertices[Eigenvector Centrality], "&gt;=" &amp; N45)</f>
        <v>0</v>
      </c>
      <c r="P44" s="38">
        <f t="shared" si="7"/>
        <v>0</v>
      </c>
      <c r="Q44" s="39">
        <f>COUNTIF(Vertices[PageRank], "&gt;= " &amp; P44) - COUNTIF(Vertices[PageRank], "&gt;=" &amp; P45)</f>
        <v>0</v>
      </c>
      <c r="R44" s="38">
        <f t="shared" si="8"/>
        <v>0</v>
      </c>
      <c r="S44" s="44">
        <f>COUNTIF(Vertices[Clustering Coefficient], "&gt;= " &amp; R44) - COUNTIF(Vertices[Clustering Coefficient], "&gt;=" &amp; R45)</f>
        <v>0</v>
      </c>
      <c r="T44" s="38" t="e">
        <f t="shared" ca="1" si="9"/>
        <v>#REF!</v>
      </c>
      <c r="U44" s="39" t="e">
        <f t="shared" ca="1" si="0"/>
        <v>#REF!</v>
      </c>
    </row>
    <row r="45" spans="1:21" x14ac:dyDescent="0.25">
      <c r="A45" s="34" t="s">
        <v>82</v>
      </c>
      <c r="B45" s="48" t="str">
        <f>IFERROR(AVERAGE(Vertices[Degree]),NoMetricMessage)</f>
        <v>Not Available</v>
      </c>
      <c r="D45" s="33">
        <f>MAX(Vertices[Degree])</f>
        <v>0</v>
      </c>
      <c r="E45" s="3">
        <f>COUNTIF(Vertices[Degree], "&gt;= " &amp; D45) - COUNTIF(Vertices[Degree], "&gt;=" &amp; D46)</f>
        <v>0</v>
      </c>
      <c r="F45" s="42">
        <f>MAX(Vertices[In-Degree])</f>
        <v>0</v>
      </c>
      <c r="G45" s="43">
        <f>COUNTIF(Vertices[In-Degree], "&gt;= " &amp; F45) - COUNTIF(Vertices[In-Degree], "&gt;=" &amp; F46)</f>
        <v>0</v>
      </c>
      <c r="H45" s="42">
        <f>MAX(Vertices[Out-Degree])</f>
        <v>0</v>
      </c>
      <c r="I45" s="43">
        <f>COUNTIF(Vertices[Out-Degree], "&gt;= " &amp; H45) - COUNTIF(Vertices[Out-Degree], "&gt;=" &amp; H46)</f>
        <v>0</v>
      </c>
      <c r="J45" s="42">
        <f>MAX(Vertices[Betweenness Centrality])</f>
        <v>0</v>
      </c>
      <c r="K45" s="43">
        <f>COUNTIF(Vertices[Betweenness Centrality], "&gt;= " &amp; J45) - COUNTIF(Vertices[Betweenness Centrality], "&gt;=" &amp; J46)</f>
        <v>0</v>
      </c>
      <c r="L45" s="42">
        <f>MAX(Vertices[Closeness Centrality])</f>
        <v>0</v>
      </c>
      <c r="M45" s="43">
        <f>COUNTIF(Vertices[Closeness Centrality], "&gt;= " &amp; L45) - COUNTIF(Vertices[Closeness Centrality], "&gt;=" &amp; L46)</f>
        <v>0</v>
      </c>
      <c r="N45" s="42">
        <f>MAX(Vertices[Eigenvector Centrality])</f>
        <v>0</v>
      </c>
      <c r="O45" s="43">
        <f>COUNTIF(Vertices[Eigenvector Centrality], "&gt;= " &amp; N45) - COUNTIF(Vertices[Eigenvector Centrality], "&gt;=" &amp; N46)</f>
        <v>0</v>
      </c>
      <c r="P45" s="42">
        <f>MAX(Vertices[PageRank])</f>
        <v>0</v>
      </c>
      <c r="Q45" s="43">
        <f>COUNTIF(Vertices[PageRank], "&gt;= " &amp; P45) - COUNTIF(Vertices[PageRank], "&gt;=" &amp; P46)</f>
        <v>0</v>
      </c>
      <c r="R45" s="42">
        <f>MAX(Vertices[Clustering Coefficient])</f>
        <v>0</v>
      </c>
      <c r="S45" s="46">
        <f>COUNTIF(Vertices[Clustering Coefficient], "&gt;= " &amp; R45) - COUNTIF(Vertices[Clustering Coefficient], "&gt;=" &amp; R46)</f>
        <v>0</v>
      </c>
      <c r="T45" s="42" t="e">
        <f ca="1">MAX(INDIRECT(DynamicFilterSourceColumnRange))</f>
        <v>#REF!</v>
      </c>
      <c r="U45" s="43" t="e">
        <f t="shared" ca="1" si="0"/>
        <v>#REF!</v>
      </c>
    </row>
    <row r="46" spans="1:21" x14ac:dyDescent="0.25">
      <c r="A46" s="34" t="s">
        <v>83</v>
      </c>
      <c r="B46" s="48" t="str">
        <f>IFERROR(MEDIAN(Vertices[Degree]),NoMetricMessage)</f>
        <v>Not Available</v>
      </c>
    </row>
    <row r="57" spans="1:2" x14ac:dyDescent="0.25">
      <c r="A57" s="34" t="s">
        <v>87</v>
      </c>
      <c r="B57" s="47" t="str">
        <f>IF(COUNT(Vertices[In-Degree])&gt;0, F2, NoMetricMessage)</f>
        <v>Not Available</v>
      </c>
    </row>
    <row r="58" spans="1:2" x14ac:dyDescent="0.25">
      <c r="A58" s="34" t="s">
        <v>88</v>
      </c>
      <c r="B58" s="47" t="str">
        <f>IF(COUNT(Vertices[In-Degree])&gt;0, F45, NoMetricMessage)</f>
        <v>Not Available</v>
      </c>
    </row>
    <row r="59" spans="1:2" x14ac:dyDescent="0.25">
      <c r="A59" s="34" t="s">
        <v>89</v>
      </c>
      <c r="B59" s="48" t="str">
        <f>IFERROR(AVERAGE(Vertices[In-Degree]),NoMetricMessage)</f>
        <v>Not Available</v>
      </c>
    </row>
    <row r="60" spans="1:2" x14ac:dyDescent="0.25">
      <c r="A60" s="34" t="s">
        <v>90</v>
      </c>
      <c r="B60" s="48" t="str">
        <f>IFERROR(MEDIAN(Vertices[In-Degree]),NoMetricMessage)</f>
        <v>Not Available</v>
      </c>
    </row>
    <row r="71" spans="1:2" x14ac:dyDescent="0.25">
      <c r="A71" s="34" t="s">
        <v>93</v>
      </c>
      <c r="B71" s="47" t="str">
        <f>IF(COUNT(Vertices[Out-Degree])&gt;0, H2, NoMetricMessage)</f>
        <v>Not Available</v>
      </c>
    </row>
    <row r="72" spans="1:2" x14ac:dyDescent="0.25">
      <c r="A72" s="34" t="s">
        <v>94</v>
      </c>
      <c r="B72" s="47" t="str">
        <f>IF(COUNT(Vertices[Out-Degree])&gt;0, H45, NoMetricMessage)</f>
        <v>Not Available</v>
      </c>
    </row>
    <row r="73" spans="1:2" x14ac:dyDescent="0.25">
      <c r="A73" s="34" t="s">
        <v>95</v>
      </c>
      <c r="B73" s="48" t="str">
        <f>IFERROR(AVERAGE(Vertices[Out-Degree]),NoMetricMessage)</f>
        <v>Not Available</v>
      </c>
    </row>
    <row r="74" spans="1:2" x14ac:dyDescent="0.25">
      <c r="A74" s="34" t="s">
        <v>96</v>
      </c>
      <c r="B74" s="48" t="str">
        <f>IFERROR(MEDIAN(Vertices[Out-Degree]),NoMetricMessage)</f>
        <v>Not Available</v>
      </c>
    </row>
    <row r="85" spans="1:2" x14ac:dyDescent="0.25">
      <c r="A85" s="34" t="s">
        <v>99</v>
      </c>
      <c r="B85" s="48" t="str">
        <f>IF(COUNT(Vertices[Betweenness Centrality])&gt;0, J2, NoMetricMessage)</f>
        <v>Not Available</v>
      </c>
    </row>
    <row r="86" spans="1:2" x14ac:dyDescent="0.25">
      <c r="A86" s="34" t="s">
        <v>100</v>
      </c>
      <c r="B86" s="48" t="str">
        <f>IF(COUNT(Vertices[Betweenness Centrality])&gt;0, J45, NoMetricMessage)</f>
        <v>Not Available</v>
      </c>
    </row>
    <row r="87" spans="1:2" x14ac:dyDescent="0.25">
      <c r="A87" s="34" t="s">
        <v>101</v>
      </c>
      <c r="B87" s="48" t="str">
        <f>IFERROR(AVERAGE(Vertices[Betweenness Centrality]),NoMetricMessage)</f>
        <v>Not Available</v>
      </c>
    </row>
    <row r="88" spans="1:2" x14ac:dyDescent="0.25">
      <c r="A88" s="34" t="s">
        <v>102</v>
      </c>
      <c r="B88" s="48" t="str">
        <f>IFERROR(MEDIAN(Vertices[Betweenness Centrality]),NoMetricMessage)</f>
        <v>Not Available</v>
      </c>
    </row>
    <row r="99" spans="1:2" x14ac:dyDescent="0.25">
      <c r="A99" s="34" t="s">
        <v>105</v>
      </c>
      <c r="B99" s="48" t="str">
        <f>IF(COUNT(Vertices[Closeness Centrality])&gt;0, L2, NoMetricMessage)</f>
        <v>Not Available</v>
      </c>
    </row>
    <row r="100" spans="1:2" x14ac:dyDescent="0.25">
      <c r="A100" s="34" t="s">
        <v>106</v>
      </c>
      <c r="B100" s="48" t="str">
        <f>IF(COUNT(Vertices[Closeness Centrality])&gt;0, L45, NoMetricMessage)</f>
        <v>Not Available</v>
      </c>
    </row>
    <row r="101" spans="1:2" x14ac:dyDescent="0.25">
      <c r="A101" s="34" t="s">
        <v>107</v>
      </c>
      <c r="B101" s="48" t="str">
        <f>IFERROR(AVERAGE(Vertices[Closeness Centrality]),NoMetricMessage)</f>
        <v>Not Available</v>
      </c>
    </row>
    <row r="102" spans="1:2" x14ac:dyDescent="0.25">
      <c r="A102" s="34" t="s">
        <v>108</v>
      </c>
      <c r="B102" s="48" t="str">
        <f>IFERROR(MEDIAN(Vertices[Closeness Centrality]),NoMetricMessage)</f>
        <v>Not Available</v>
      </c>
    </row>
    <row r="113" spans="1:2" x14ac:dyDescent="0.25">
      <c r="A113" s="34" t="s">
        <v>111</v>
      </c>
      <c r="B113" s="48" t="str">
        <f>IF(COUNT(Vertices[Eigenvector Centrality])&gt;0, N2, NoMetricMessage)</f>
        <v>Not Available</v>
      </c>
    </row>
    <row r="114" spans="1:2" x14ac:dyDescent="0.25">
      <c r="A114" s="34" t="s">
        <v>112</v>
      </c>
      <c r="B114" s="48" t="str">
        <f>IF(COUNT(Vertices[Eigenvector Centrality])&gt;0, N45, NoMetricMessage)</f>
        <v>Not Available</v>
      </c>
    </row>
    <row r="115" spans="1:2" x14ac:dyDescent="0.25">
      <c r="A115" s="34" t="s">
        <v>113</v>
      </c>
      <c r="B115" s="48" t="str">
        <f>IFERROR(AVERAGE(Vertices[Eigenvector Centrality]),NoMetricMessage)</f>
        <v>Not Available</v>
      </c>
    </row>
    <row r="116" spans="1:2" x14ac:dyDescent="0.25">
      <c r="A116" s="34" t="s">
        <v>114</v>
      </c>
      <c r="B116" s="48" t="str">
        <f>IFERROR(MEDIAN(Vertices[Eigenvector Centrality]),NoMetricMessage)</f>
        <v>Not Available</v>
      </c>
    </row>
    <row r="127" spans="1:2" x14ac:dyDescent="0.25">
      <c r="A127" s="34" t="s">
        <v>139</v>
      </c>
      <c r="B127" s="48" t="str">
        <f>IF(COUNT(Vertices[PageRank])&gt;0, P2, NoMetricMessage)</f>
        <v>Not Available</v>
      </c>
    </row>
    <row r="128" spans="1:2" x14ac:dyDescent="0.25">
      <c r="A128" s="34" t="s">
        <v>140</v>
      </c>
      <c r="B128" s="48" t="str">
        <f>IF(COUNT(Vertices[PageRank])&gt;0, P45, NoMetricMessage)</f>
        <v>Not Available</v>
      </c>
    </row>
    <row r="129" spans="1:2" x14ac:dyDescent="0.25">
      <c r="A129" s="34" t="s">
        <v>141</v>
      </c>
      <c r="B129" s="48" t="str">
        <f>IFERROR(AVERAGE(Vertices[PageRank]),NoMetricMessage)</f>
        <v>Not Available</v>
      </c>
    </row>
    <row r="130" spans="1:2" x14ac:dyDescent="0.25">
      <c r="A130" s="34" t="s">
        <v>142</v>
      </c>
      <c r="B130" s="48" t="str">
        <f>IFERROR(MEDIAN(Vertices[PageRank]),NoMetricMessage)</f>
        <v>Not Available</v>
      </c>
    </row>
    <row r="141" spans="1:2" x14ac:dyDescent="0.25">
      <c r="A141" s="34" t="s">
        <v>117</v>
      </c>
      <c r="B141" s="48" t="str">
        <f>IF(COUNT(Vertices[Clustering Coefficient])&gt;0, R2, NoMetricMessage)</f>
        <v>Not Available</v>
      </c>
    </row>
    <row r="142" spans="1:2" x14ac:dyDescent="0.25">
      <c r="A142" s="34" t="s">
        <v>118</v>
      </c>
      <c r="B142" s="48" t="str">
        <f>IF(COUNT(Vertices[Clustering Coefficient])&gt;0, R45, NoMetricMessage)</f>
        <v>Not Available</v>
      </c>
    </row>
    <row r="143" spans="1:2" x14ac:dyDescent="0.25">
      <c r="A143" s="34" t="s">
        <v>119</v>
      </c>
      <c r="B143" s="48" t="str">
        <f>IFERROR(AVERAGE(Vertices[Clustering Coefficient]),NoMetricMessage)</f>
        <v>Not Available</v>
      </c>
    </row>
    <row r="144" spans="1:2" x14ac:dyDescent="0.25">
      <c r="A144" s="34" t="s">
        <v>120</v>
      </c>
      <c r="B144" s="48" t="str">
        <f>IFERROR(MEDIAN(Vertices[Clustering Coefficient]),NoMetricMessage)</f>
        <v>Not Available</v>
      </c>
    </row>
  </sheetData>
  <dataConsolidate/>
  <pageMargins left="0.7" right="0.7" top="0.75" bottom="0.75" header="0.3" footer="0.3"/>
  <pageSetup orientation="portrait" horizontalDpi="0"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130</v>
      </c>
      <c r="C1" s="4" t="s">
        <v>7</v>
      </c>
      <c r="D1" s="4" t="s">
        <v>9</v>
      </c>
      <c r="E1" s="4" t="s">
        <v>163</v>
      </c>
      <c r="F1" s="5" t="s">
        <v>168</v>
      </c>
      <c r="G1" s="4" t="s">
        <v>14</v>
      </c>
      <c r="H1" s="4" t="s">
        <v>66</v>
      </c>
      <c r="J1" s="4" t="s">
        <v>18</v>
      </c>
      <c r="K1" s="4" t="s">
        <v>17</v>
      </c>
      <c r="M1" s="4" t="s">
        <v>22</v>
      </c>
      <c r="N1" s="4" t="s">
        <v>23</v>
      </c>
      <c r="O1" s="4" t="s">
        <v>24</v>
      </c>
      <c r="P1" s="4" t="s">
        <v>25</v>
      </c>
    </row>
    <row r="2" spans="1:18" x14ac:dyDescent="0.25">
      <c r="A2" s="1" t="s">
        <v>50</v>
      </c>
      <c r="B2" s="1" t="s">
        <v>131</v>
      </c>
      <c r="C2" t="s">
        <v>53</v>
      </c>
      <c r="D2" t="s">
        <v>54</v>
      </c>
      <c r="E2" t="s">
        <v>54</v>
      </c>
      <c r="F2" s="1" t="s">
        <v>50</v>
      </c>
      <c r="G2" t="s">
        <v>64</v>
      </c>
      <c r="H2" t="s">
        <v>158</v>
      </c>
      <c r="J2" t="s">
        <v>19</v>
      </c>
      <c r="K2">
        <v>105</v>
      </c>
    </row>
    <row r="3" spans="1:18" x14ac:dyDescent="0.25">
      <c r="A3" s="1" t="s">
        <v>51</v>
      </c>
      <c r="B3" s="1" t="s">
        <v>132</v>
      </c>
      <c r="C3" t="s">
        <v>51</v>
      </c>
      <c r="D3" t="s">
        <v>55</v>
      </c>
      <c r="E3" t="s">
        <v>55</v>
      </c>
      <c r="F3" s="1" t="s">
        <v>51</v>
      </c>
      <c r="G3" t="s">
        <v>65</v>
      </c>
      <c r="H3" t="s">
        <v>67</v>
      </c>
      <c r="J3" t="s">
        <v>29</v>
      </c>
      <c r="K3" t="s">
        <v>235</v>
      </c>
    </row>
    <row r="4" spans="1:18" x14ac:dyDescent="0.25">
      <c r="A4" s="1" t="s">
        <v>52</v>
      </c>
      <c r="B4" s="1" t="s">
        <v>133</v>
      </c>
      <c r="C4" t="s">
        <v>52</v>
      </c>
      <c r="D4" t="s">
        <v>56</v>
      </c>
      <c r="E4" t="s">
        <v>56</v>
      </c>
      <c r="F4" s="1" t="s">
        <v>52</v>
      </c>
      <c r="G4">
        <v>0</v>
      </c>
      <c r="H4" t="s">
        <v>68</v>
      </c>
      <c r="J4" s="12" t="s">
        <v>77</v>
      </c>
      <c r="K4" s="12"/>
    </row>
    <row r="5" spans="1:18" ht="409.5" x14ac:dyDescent="0.25">
      <c r="A5">
        <v>1</v>
      </c>
      <c r="B5" s="1" t="s">
        <v>134</v>
      </c>
      <c r="C5" t="s">
        <v>50</v>
      </c>
      <c r="D5" t="s">
        <v>57</v>
      </c>
      <c r="E5" t="s">
        <v>57</v>
      </c>
      <c r="F5">
        <v>1</v>
      </c>
      <c r="G5">
        <v>1</v>
      </c>
      <c r="H5" t="s">
        <v>69</v>
      </c>
      <c r="J5" t="s">
        <v>171</v>
      </c>
      <c r="K5" s="13" t="s">
        <v>236</v>
      </c>
    </row>
    <row r="6" spans="1:18" x14ac:dyDescent="0.25">
      <c r="A6">
        <v>0</v>
      </c>
      <c r="B6" s="1" t="s">
        <v>135</v>
      </c>
      <c r="C6">
        <v>1</v>
      </c>
      <c r="D6" t="s">
        <v>58</v>
      </c>
      <c r="E6" t="s">
        <v>58</v>
      </c>
      <c r="F6">
        <v>0</v>
      </c>
      <c r="H6" t="s">
        <v>70</v>
      </c>
      <c r="J6" t="s">
        <v>172</v>
      </c>
      <c r="K6">
        <v>1</v>
      </c>
      <c r="R6" t="s">
        <v>128</v>
      </c>
    </row>
    <row r="7" spans="1:18" x14ac:dyDescent="0.25">
      <c r="A7">
        <v>2</v>
      </c>
      <c r="B7">
        <v>1</v>
      </c>
      <c r="C7">
        <v>0</v>
      </c>
      <c r="D7" t="s">
        <v>59</v>
      </c>
      <c r="E7" t="s">
        <v>59</v>
      </c>
      <c r="F7">
        <v>2</v>
      </c>
      <c r="H7" t="s">
        <v>71</v>
      </c>
      <c r="J7" t="s">
        <v>187</v>
      </c>
      <c r="K7" t="s">
        <v>237</v>
      </c>
    </row>
    <row r="8" spans="1:18" x14ac:dyDescent="0.25">
      <c r="A8"/>
      <c r="B8">
        <v>2</v>
      </c>
      <c r="C8">
        <v>2</v>
      </c>
      <c r="D8" t="s">
        <v>60</v>
      </c>
      <c r="E8" t="s">
        <v>60</v>
      </c>
      <c r="H8" t="s">
        <v>72</v>
      </c>
    </row>
    <row r="9" spans="1:18" x14ac:dyDescent="0.25">
      <c r="A9"/>
      <c r="B9">
        <v>3</v>
      </c>
      <c r="C9">
        <v>4</v>
      </c>
      <c r="D9" t="s">
        <v>61</v>
      </c>
      <c r="E9" t="s">
        <v>61</v>
      </c>
      <c r="H9" t="s">
        <v>73</v>
      </c>
    </row>
    <row r="10" spans="1:18" x14ac:dyDescent="0.25">
      <c r="A10"/>
      <c r="B10">
        <v>4</v>
      </c>
      <c r="D10" t="s">
        <v>62</v>
      </c>
      <c r="E10" t="s">
        <v>62</v>
      </c>
      <c r="H10" t="s">
        <v>74</v>
      </c>
    </row>
    <row r="11" spans="1:18" x14ac:dyDescent="0.25">
      <c r="A11"/>
      <c r="B11">
        <v>5</v>
      </c>
      <c r="D11" t="s">
        <v>45</v>
      </c>
      <c r="E11">
        <v>1</v>
      </c>
      <c r="H11" t="s">
        <v>75</v>
      </c>
    </row>
    <row r="12" spans="1:18" x14ac:dyDescent="0.25">
      <c r="A12"/>
      <c r="B12"/>
      <c r="D12" t="s">
        <v>63</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BB5BC590-BC5D-4974-886B-55BE8ECC207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Shaila</dc:creator>
  <cp:lastModifiedBy>Shaila</cp:lastModifiedBy>
  <dcterms:created xsi:type="dcterms:W3CDTF">2008-01-30T00:41:58Z</dcterms:created>
  <dcterms:modified xsi:type="dcterms:W3CDTF">2017-01-24T22:41:52Z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ssemblyLocation">
    <vt:lpwstr>Smrf.NodeXL.ExcelTemplate.vsto|aa51c0f3-62b4-4782-83a8-a15dcdd17698</vt:lpwstr>
  </property>
  <property fmtid="{D5CDD505-2E9C-101B-9397-08002B2CF9AE}" pid="3" name="_AssemblyName">
    <vt:lpwstr>4E3C66D5-58D4-491E-A7D4-64AF99AF6E8B</vt:lpwstr>
  </property>
  <property fmtid="{D5CDD505-2E9C-101B-9397-08002B2CF9AE}" pid="4" name="Solution ID">
    <vt:lpwstr>{15727DE6-F92D-4E46-ACB4-0E2C58B31A18}</vt:lpwstr>
  </property>
</Properties>
</file>